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7329"/>
  <workbookPr/>
  <mc:AlternateContent xmlns:mc="http://schemas.openxmlformats.org/markup-compatibility/2006">
    <mc:Choice Requires="x15">
      <x15ac:absPath xmlns:x15ac="http://schemas.microsoft.com/office/spreadsheetml/2010/11/ac" url="C:\Users\reube\Dropbox\Scarlatti - projects\DairyNZ - Heifer Raising\Tools from Sarah\"/>
    </mc:Choice>
  </mc:AlternateContent>
  <bookViews>
    <workbookView xWindow="0" yWindow="0" windowWidth="28800" windowHeight="12795"/>
  </bookViews>
  <sheets>
    <sheet name="Instructions and Assumptions" sheetId="6" r:id="rId1"/>
    <sheet name="Calculator" sheetId="1" r:id="rId2"/>
    <sheet name="Calculations-Hide" sheetId="2" state="hidden" r:id="rId3"/>
    <sheet name="Growth Rates-Hide" sheetId="3" state="hidden" r:id="rId4"/>
    <sheet name="Lists" sheetId="4" state="hidden" r:id="rId5"/>
  </sheets>
  <definedNames>
    <definedName name="Cows">Lists!$A$1:$A$3</definedName>
    <definedName name="MilkSolids">Lists!$A$7:$A$13</definedName>
  </definedNames>
  <calcPr calcId="171027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8" i="2" l="1"/>
  <c r="M33" i="2"/>
  <c r="L33" i="2"/>
  <c r="K34" i="2" l="1"/>
  <c r="K33" i="2"/>
  <c r="K32" i="2"/>
  <c r="K31" i="2"/>
  <c r="C3" i="2" l="1"/>
  <c r="B41" i="2"/>
  <c r="B42" i="2"/>
  <c r="I21" i="1"/>
  <c r="U33" i="3" l="1"/>
  <c r="T33" i="3"/>
  <c r="U32" i="3"/>
  <c r="T32" i="3"/>
  <c r="U31" i="3"/>
  <c r="T31" i="3"/>
  <c r="U30" i="3"/>
  <c r="T30" i="3"/>
  <c r="V30" i="3" s="1"/>
  <c r="U29" i="3"/>
  <c r="T29" i="3"/>
  <c r="U28" i="3"/>
  <c r="T28" i="3"/>
  <c r="U27" i="3"/>
  <c r="T27" i="3"/>
  <c r="U26" i="3"/>
  <c r="T26" i="3"/>
  <c r="V26" i="3" s="1"/>
  <c r="U25" i="3"/>
  <c r="T25" i="3"/>
  <c r="U24" i="3"/>
  <c r="T24" i="3"/>
  <c r="U23" i="3"/>
  <c r="T23" i="3"/>
  <c r="U22" i="3"/>
  <c r="T22" i="3"/>
  <c r="V22" i="3" s="1"/>
  <c r="U21" i="3"/>
  <c r="T21" i="3"/>
  <c r="U20" i="3"/>
  <c r="T20" i="3"/>
  <c r="U19" i="3"/>
  <c r="T19" i="3"/>
  <c r="U18" i="3"/>
  <c r="T18" i="3"/>
  <c r="V18" i="3" s="1"/>
  <c r="U17" i="3"/>
  <c r="T17" i="3"/>
  <c r="U16" i="3"/>
  <c r="T16" i="3"/>
  <c r="V16" i="3" s="1"/>
  <c r="U15" i="3"/>
  <c r="V15" i="3" s="1"/>
  <c r="T15" i="3"/>
  <c r="V17" i="3"/>
  <c r="V19" i="3"/>
  <c r="V20" i="3"/>
  <c r="V21" i="3"/>
  <c r="V23" i="3"/>
  <c r="V24" i="3"/>
  <c r="V25" i="3"/>
  <c r="V27" i="3"/>
  <c r="V28" i="3"/>
  <c r="V29" i="3"/>
  <c r="V31" i="3"/>
  <c r="V32" i="3"/>
  <c r="V33" i="3"/>
  <c r="N33" i="3"/>
  <c r="M33" i="3"/>
  <c r="N32" i="3"/>
  <c r="M32" i="3"/>
  <c r="N31" i="3"/>
  <c r="M31" i="3"/>
  <c r="N30" i="3"/>
  <c r="M30" i="3"/>
  <c r="N29" i="3"/>
  <c r="M29" i="3"/>
  <c r="N28" i="3"/>
  <c r="M28" i="3"/>
  <c r="N27" i="3"/>
  <c r="M27" i="3"/>
  <c r="N26" i="3"/>
  <c r="M26" i="3"/>
  <c r="N25" i="3"/>
  <c r="M25" i="3"/>
  <c r="N24" i="3"/>
  <c r="M24" i="3"/>
  <c r="N23" i="3"/>
  <c r="M23" i="3"/>
  <c r="N22" i="3"/>
  <c r="M22" i="3"/>
  <c r="N21" i="3"/>
  <c r="M21" i="3"/>
  <c r="N20" i="3"/>
  <c r="M20" i="3"/>
  <c r="N19" i="3"/>
  <c r="M19" i="3"/>
  <c r="N18" i="3"/>
  <c r="M18" i="3"/>
  <c r="N17" i="3"/>
  <c r="M17" i="3"/>
  <c r="N16" i="3"/>
  <c r="M16" i="3"/>
  <c r="N15" i="3"/>
  <c r="M15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F33" i="3" l="1"/>
  <c r="F15" i="3"/>
  <c r="F32" i="3" l="1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C33" i="2" l="1"/>
  <c r="D33" i="2"/>
  <c r="E33" i="2"/>
  <c r="C34" i="2"/>
  <c r="D34" i="2"/>
  <c r="E34" i="2"/>
  <c r="C35" i="2"/>
  <c r="D35" i="2"/>
  <c r="E35" i="2"/>
  <c r="E32" i="2"/>
  <c r="D32" i="2"/>
  <c r="C32" i="2"/>
  <c r="B33" i="2"/>
  <c r="B34" i="2"/>
  <c r="B35" i="2"/>
  <c r="B32" i="2"/>
  <c r="E36" i="2" l="1"/>
  <c r="D36" i="2"/>
  <c r="C36" i="2"/>
  <c r="F6" i="2" l="1"/>
  <c r="F7" i="2"/>
  <c r="F8" i="2"/>
  <c r="S36" i="3"/>
  <c r="L36" i="3"/>
  <c r="E36" i="3"/>
  <c r="R15" i="3"/>
  <c r="K15" i="3"/>
  <c r="D15" i="3"/>
  <c r="D16" i="3" s="1"/>
  <c r="D17" i="3" l="1"/>
  <c r="R16" i="3"/>
  <c r="K16" i="3"/>
  <c r="O15" i="3"/>
  <c r="H15" i="3" l="1"/>
  <c r="I15" i="3" s="1"/>
  <c r="W15" i="3"/>
  <c r="R17" i="3"/>
  <c r="H16" i="3"/>
  <c r="P15" i="3"/>
  <c r="K17" i="3"/>
  <c r="D18" i="3"/>
  <c r="O16" i="3" l="1"/>
  <c r="P16" i="3" s="1"/>
  <c r="D19" i="3"/>
  <c r="K18" i="3"/>
  <c r="I16" i="3"/>
  <c r="H17" i="3"/>
  <c r="I17" i="3" s="1"/>
  <c r="R18" i="3"/>
  <c r="H18" i="3" l="1"/>
  <c r="I18" i="3" s="1"/>
  <c r="W16" i="3"/>
  <c r="O17" i="3"/>
  <c r="P17" i="3" s="1"/>
  <c r="R19" i="3"/>
  <c r="K19" i="3"/>
  <c r="D20" i="3"/>
  <c r="H19" i="3" l="1"/>
  <c r="I19" i="3" s="1"/>
  <c r="W18" i="3"/>
  <c r="W17" i="3"/>
  <c r="K20" i="3"/>
  <c r="D21" i="3"/>
  <c r="O18" i="3"/>
  <c r="R20" i="3"/>
  <c r="O19" i="3" l="1"/>
  <c r="P19" i="3" s="1"/>
  <c r="H20" i="3"/>
  <c r="I20" i="3" s="1"/>
  <c r="P18" i="3"/>
  <c r="R21" i="3"/>
  <c r="D22" i="3"/>
  <c r="K21" i="3"/>
  <c r="W20" i="3" l="1"/>
  <c r="H21" i="3"/>
  <c r="I21" i="3" s="1"/>
  <c r="K22" i="3"/>
  <c r="W19" i="3"/>
  <c r="O20" i="3"/>
  <c r="D23" i="3"/>
  <c r="R22" i="3"/>
  <c r="J21" i="3" l="1"/>
  <c r="H22" i="3"/>
  <c r="I22" i="3" s="1"/>
  <c r="R23" i="3"/>
  <c r="X21" i="3"/>
  <c r="D24" i="3"/>
  <c r="K23" i="3"/>
  <c r="P20" i="3"/>
  <c r="O21" i="3"/>
  <c r="P21" i="3" l="1"/>
  <c r="Q21" i="3"/>
  <c r="D25" i="3"/>
  <c r="W21" i="3"/>
  <c r="H23" i="3"/>
  <c r="R24" i="3"/>
  <c r="K24" i="3"/>
  <c r="O22" i="3"/>
  <c r="W22" i="3" l="1"/>
  <c r="O23" i="3"/>
  <c r="P23" i="3" s="1"/>
  <c r="I23" i="3"/>
  <c r="R25" i="3"/>
  <c r="K25" i="3"/>
  <c r="D26" i="3"/>
  <c r="P22" i="3"/>
  <c r="W23" i="3"/>
  <c r="H24" i="3"/>
  <c r="I24" i="3" s="1"/>
  <c r="W24" i="3" l="1"/>
  <c r="O24" i="3"/>
  <c r="P24" i="3" s="1"/>
  <c r="D27" i="3"/>
  <c r="K26" i="3"/>
  <c r="H25" i="3"/>
  <c r="I25" i="3" s="1"/>
  <c r="R26" i="3"/>
  <c r="W25" i="3" l="1"/>
  <c r="O25" i="3"/>
  <c r="P25" i="3" s="1"/>
  <c r="H26" i="3"/>
  <c r="I26" i="3" s="1"/>
  <c r="R27" i="3"/>
  <c r="O26" i="3"/>
  <c r="P26" i="3" s="1"/>
  <c r="K27" i="3"/>
  <c r="D28" i="3"/>
  <c r="R28" i="3" l="1"/>
  <c r="K28" i="3"/>
  <c r="D29" i="3"/>
  <c r="H27" i="3"/>
  <c r="W27" i="3" l="1"/>
  <c r="W26" i="3"/>
  <c r="O27" i="3"/>
  <c r="P27" i="3" s="1"/>
  <c r="I27" i="3"/>
  <c r="K29" i="3"/>
  <c r="H28" i="3"/>
  <c r="I28" i="3" s="1"/>
  <c r="R29" i="3"/>
  <c r="D30" i="3"/>
  <c r="O28" i="3" l="1"/>
  <c r="P28" i="3" s="1"/>
  <c r="K30" i="3"/>
  <c r="H29" i="3"/>
  <c r="I29" i="3" s="1"/>
  <c r="D31" i="3"/>
  <c r="R30" i="3"/>
  <c r="W29" i="3" l="1"/>
  <c r="H30" i="3"/>
  <c r="I30" i="3" s="1"/>
  <c r="W28" i="3"/>
  <c r="K31" i="3"/>
  <c r="D32" i="3"/>
  <c r="O29" i="3"/>
  <c r="R31" i="3"/>
  <c r="W30" i="3" l="1"/>
  <c r="P29" i="3"/>
  <c r="O30" i="3"/>
  <c r="P30" i="3" s="1"/>
  <c r="H31" i="3"/>
  <c r="I31" i="3" s="1"/>
  <c r="D33" i="3"/>
  <c r="R32" i="3"/>
  <c r="K32" i="3"/>
  <c r="K33" i="3" l="1"/>
  <c r="R33" i="3"/>
  <c r="O31" i="3"/>
  <c r="P31" i="3" s="1"/>
  <c r="W31" i="3"/>
  <c r="H32" i="3"/>
  <c r="I32" i="3" s="1"/>
  <c r="W32" i="3" l="1"/>
  <c r="O32" i="3"/>
  <c r="P32" i="3" s="1"/>
  <c r="H33" i="3"/>
  <c r="J33" i="3" s="1"/>
  <c r="X33" i="3" l="1"/>
  <c r="I33" i="3"/>
  <c r="H34" i="3"/>
  <c r="O33" i="3"/>
  <c r="Q33" i="3" s="1"/>
  <c r="V34" i="3" l="1"/>
  <c r="W33" i="3"/>
  <c r="P33" i="3"/>
  <c r="O34" i="3"/>
  <c r="B24" i="2" l="1"/>
  <c r="B25" i="2"/>
  <c r="B26" i="2"/>
  <c r="B23" i="2"/>
  <c r="C10" i="2"/>
  <c r="C18" i="2"/>
  <c r="F36" i="2"/>
  <c r="B36" i="2"/>
  <c r="AN1" i="2"/>
  <c r="AH1" i="2"/>
  <c r="AB1" i="2"/>
  <c r="V1" i="2"/>
  <c r="C15" i="2" l="1"/>
  <c r="C14" i="2"/>
  <c r="B27" i="2"/>
  <c r="C16" i="2"/>
  <c r="E16" i="2" l="1"/>
  <c r="D16" i="2"/>
  <c r="D14" i="2"/>
  <c r="K6" i="2" s="1"/>
  <c r="K10" i="2" s="1"/>
  <c r="E14" i="2"/>
  <c r="E15" i="2"/>
  <c r="D15" i="2"/>
  <c r="L7" i="2" s="1"/>
  <c r="L11" i="2" s="1"/>
  <c r="K8" i="2"/>
  <c r="K22" i="2" s="1"/>
  <c r="K7" i="2"/>
  <c r="K11" i="2" s="1"/>
  <c r="L8" i="2"/>
  <c r="L6" i="2" l="1"/>
  <c r="L10" i="2" s="1"/>
  <c r="K14" i="2"/>
  <c r="P7" i="2"/>
  <c r="P11" i="2" s="1"/>
  <c r="P6" i="2"/>
  <c r="P10" i="2" s="1"/>
  <c r="P8" i="2"/>
  <c r="O6" i="2"/>
  <c r="O10" i="2" s="1"/>
  <c r="O14" i="2" s="1"/>
  <c r="O8" i="2"/>
  <c r="O12" i="2" s="1"/>
  <c r="O16" i="2" s="1"/>
  <c r="O7" i="2"/>
  <c r="O11" i="2" s="1"/>
  <c r="O15" i="2" s="1"/>
  <c r="M8" i="2"/>
  <c r="M7" i="2"/>
  <c r="M11" i="2" s="1"/>
  <c r="M6" i="2"/>
  <c r="M10" i="2" s="1"/>
  <c r="N8" i="2"/>
  <c r="N7" i="2"/>
  <c r="N11" i="2" s="1"/>
  <c r="N6" i="2"/>
  <c r="N10" i="2" s="1"/>
  <c r="L22" i="2"/>
  <c r="L12" i="2"/>
  <c r="L16" i="2" s="1"/>
  <c r="L15" i="2"/>
  <c r="L14" i="2"/>
  <c r="K23" i="2"/>
  <c r="J31" i="2" s="1"/>
  <c r="L31" i="2" s="1"/>
  <c r="M31" i="2" s="1"/>
  <c r="O22" i="2" l="1"/>
  <c r="O23" i="2" s="1"/>
  <c r="L17" i="2"/>
  <c r="O17" i="2"/>
  <c r="M12" i="2"/>
  <c r="M16" i="2" s="1"/>
  <c r="M22" i="2"/>
  <c r="M23" i="2" s="1"/>
  <c r="P15" i="2"/>
  <c r="M14" i="2"/>
  <c r="N22" i="2"/>
  <c r="N23" i="2" s="1"/>
  <c r="J32" i="2" s="1"/>
  <c r="L32" i="2" s="1"/>
  <c r="M32" i="2" s="1"/>
  <c r="N12" i="2"/>
  <c r="N16" i="2" s="1"/>
  <c r="M15" i="2"/>
  <c r="N15" i="2"/>
  <c r="P22" i="2"/>
  <c r="P23" i="2" s="1"/>
  <c r="P12" i="2"/>
  <c r="P16" i="2" s="1"/>
  <c r="N14" i="2"/>
  <c r="K12" i="2"/>
  <c r="K16" i="2" s="1"/>
  <c r="P14" i="2"/>
  <c r="K15" i="2"/>
  <c r="L23" i="2"/>
  <c r="K17" i="2" l="1"/>
  <c r="J33" i="2" s="1"/>
  <c r="K37" i="2" s="1"/>
  <c r="K31" i="1" s="1"/>
  <c r="M17" i="2"/>
  <c r="P17" i="2"/>
  <c r="N17" i="2"/>
  <c r="J34" i="2" s="1"/>
  <c r="L34" i="2" s="1"/>
  <c r="M34" i="2" s="1"/>
  <c r="I27" i="1" l="1"/>
  <c r="I28" i="1"/>
  <c r="K32" i="1"/>
  <c r="I32" i="1"/>
  <c r="I31" i="1" l="1"/>
</calcChain>
</file>

<file path=xl/sharedStrings.xml><?xml version="1.0" encoding="utf-8"?>
<sst xmlns="http://schemas.openxmlformats.org/spreadsheetml/2006/main" count="414" uniqueCount="166">
  <si>
    <t>Value of having heifers off the milking platform</t>
  </si>
  <si>
    <t>Southland/Otago</t>
  </si>
  <si>
    <t>Variable Costs/cow</t>
  </si>
  <si>
    <t>Canterbury/Marlborough</t>
  </si>
  <si>
    <t>Waikato</t>
  </si>
  <si>
    <t>Bay of Plenty</t>
  </si>
  <si>
    <t>Cash Operating Surplus and Operating Profit 2012-13</t>
  </si>
  <si>
    <t>Ha</t>
  </si>
  <si>
    <t>Cows</t>
  </si>
  <si>
    <t>SR</t>
  </si>
  <si>
    <t>Replacements</t>
  </si>
  <si>
    <t>Updated MGN 23 April 2014</t>
  </si>
  <si>
    <t>PHYSICAL CHARACTERISTICS:</t>
  </si>
  <si>
    <t>per farm</t>
  </si>
  <si>
    <t>per cow</t>
  </si>
  <si>
    <t>per  hectare</t>
  </si>
  <si>
    <t>Southland</t>
  </si>
  <si>
    <t>Effective area (ha)</t>
  </si>
  <si>
    <t>Peak cows milked</t>
  </si>
  <si>
    <t>Kg Milksolids sold</t>
  </si>
  <si>
    <t>$ per farm</t>
  </si>
  <si>
    <t>$ per cow</t>
  </si>
  <si>
    <t>$ per effective hectare</t>
  </si>
  <si>
    <t>$ per Kg milksolids sold</t>
  </si>
  <si>
    <t>DAIRY CASH INCOME:</t>
  </si>
  <si>
    <t>KgLW</t>
  </si>
  <si>
    <t>Milk sales (net of dairy levies)</t>
  </si>
  <si>
    <t>Jersey</t>
  </si>
  <si>
    <t>FxJ</t>
  </si>
  <si>
    <t>Friesian</t>
  </si>
  <si>
    <t>Net livestock sales (sales - purchases)</t>
  </si>
  <si>
    <t>Other dairy cash income</t>
  </si>
  <si>
    <t>Net Dairy Cash Income</t>
  </si>
  <si>
    <t>New Zealand</t>
  </si>
  <si>
    <t>CASH FARM WORKING EXPENSES:</t>
  </si>
  <si>
    <t>Wages</t>
  </si>
  <si>
    <t>Animal health</t>
  </si>
  <si>
    <t>Breeding &amp; herd improvement</t>
  </si>
  <si>
    <t>Farm dairy</t>
  </si>
  <si>
    <t>Electricity</t>
  </si>
  <si>
    <t>Net feed made, purchased, cropped</t>
  </si>
  <si>
    <t>Stock grazing</t>
  </si>
  <si>
    <t>Run-off Lease</t>
  </si>
  <si>
    <t>Fertiliser (incl nitrogen)</t>
  </si>
  <si>
    <t>Irrigation</t>
  </si>
  <si>
    <t>Regrassing</t>
  </si>
  <si>
    <t>Weed &amp; pest</t>
  </si>
  <si>
    <t>Vehicles &amp; fuel</t>
  </si>
  <si>
    <t>Average</t>
  </si>
  <si>
    <t>Repairs &amp; maintenance</t>
  </si>
  <si>
    <t>Freight &amp; general</t>
  </si>
  <si>
    <t>Administration</t>
  </si>
  <si>
    <t>Insurance</t>
  </si>
  <si>
    <t>ACC</t>
  </si>
  <si>
    <t>Rates</t>
  </si>
  <si>
    <t>Farm Working Expenses</t>
  </si>
  <si>
    <t>Cash Operating Surplus</t>
  </si>
  <si>
    <t>ADJUSTMENTS:</t>
  </si>
  <si>
    <t>Value of change in dairy livestock</t>
  </si>
  <si>
    <t>less Labour adjustment</t>
  </si>
  <si>
    <t>plus Feed inventory adjustment</t>
  </si>
  <si>
    <t>less Owned run-off adjustment</t>
  </si>
  <si>
    <t>less Depreciation</t>
  </si>
  <si>
    <t>Net Adjustments</t>
  </si>
  <si>
    <t>OPERATING CASH &amp; NON_CASH:</t>
  </si>
  <si>
    <t>Dairy Gross Farm Revenue</t>
  </si>
  <si>
    <t>Dairy Operating Expenses</t>
  </si>
  <si>
    <t>Dairy Operating Profit</t>
  </si>
  <si>
    <t>Source: DairyNZ Economics Group, DairyBase</t>
  </si>
  <si>
    <t>Total</t>
  </si>
  <si>
    <t>Breed</t>
  </si>
  <si>
    <t>Fr x J</t>
  </si>
  <si>
    <t>Value to graze off</t>
  </si>
  <si>
    <t>Instructions</t>
  </si>
  <si>
    <t>Enter data in cells coloured</t>
  </si>
  <si>
    <t>Farm dairy expenses</t>
  </si>
  <si>
    <t>Dairy Heifer Growth Rate Profiles</t>
  </si>
  <si>
    <t>JxF</t>
  </si>
  <si>
    <t>Months of age at end of month</t>
  </si>
  <si>
    <t>ME/day for LWG</t>
  </si>
  <si>
    <t>kgDM/day</t>
  </si>
  <si>
    <t>October</t>
  </si>
  <si>
    <t>November</t>
  </si>
  <si>
    <t>December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</si>
  <si>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</si>
  <si>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</si>
  <si>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</si>
  <si>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</si>
  <si>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</si>
  <si>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</si>
  <si>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</si>
  <si>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</si>
  <si>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</si>
  <si>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Target LW (kg)</t>
  </si>
  <si>
    <t>Average LWG/day</t>
  </si>
  <si>
    <t>Ave</t>
  </si>
  <si>
    <t>Result cells are coloured</t>
  </si>
  <si>
    <t>10 months to 22 months</t>
  </si>
  <si>
    <t>$/hd/week</t>
  </si>
  <si>
    <t>Estimated break even to graze off</t>
  </si>
  <si>
    <t>Milksolids per cow your herd</t>
  </si>
  <si>
    <t>Weeks</t>
  </si>
  <si>
    <t>$/kg Lwt gain</t>
  </si>
  <si>
    <t>Heifer numbers as a % of peak cow numbers going to grazing</t>
  </si>
  <si>
    <t>Days</t>
  </si>
  <si>
    <t>3 months to 9 months</t>
  </si>
  <si>
    <t>Replacement rate</t>
  </si>
  <si>
    <t>Region</t>
  </si>
  <si>
    <t>Assume producing (MS/cow)</t>
  </si>
  <si>
    <t>Milksolids payout ($/kgMS)</t>
  </si>
  <si>
    <t>kgDM (@ 11MJME/kg)</t>
  </si>
  <si>
    <t>Equivalent number of cows</t>
  </si>
  <si>
    <t>Value of not having heifers on milking platform ($)</t>
  </si>
  <si>
    <t>Value of not having heifers on milking platform ($/hfr)</t>
  </si>
  <si>
    <t>R 1yr Hfrs</t>
  </si>
  <si>
    <t>R 2yr Hfrs</t>
  </si>
  <si>
    <t>Income</t>
  </si>
  <si>
    <t>Cost</t>
  </si>
  <si>
    <t>Item</t>
  </si>
  <si>
    <t>Own costs ($/cow)</t>
  </si>
  <si>
    <t>Variable costs by region ($/cow)</t>
  </si>
  <si>
    <t>Hfr as a proportion of milking cow</t>
  </si>
  <si>
    <t>R 1yr Hfr</t>
  </si>
  <si>
    <t>R 2yr Hfr</t>
  </si>
  <si>
    <t>Feed required</t>
  </si>
  <si>
    <t>Month</t>
  </si>
  <si>
    <t>Total DM</t>
  </si>
  <si>
    <t>ME/day for maintenance</t>
  </si>
  <si>
    <t>const #1</t>
  </si>
  <si>
    <t>const #2</t>
  </si>
  <si>
    <t>Livestock income by region ($/cow)</t>
  </si>
  <si>
    <t>$/kgMS</t>
  </si>
  <si>
    <t>Grazing heifers on the milking platform vs. off farm grazing</t>
  </si>
  <si>
    <t>The calculator uses the standardised variable operating costs per milking cow from the 2012/13 Dairy NZ Economic Survey.</t>
  </si>
  <si>
    <t>Do you wish for an estimation more specific to your farm?</t>
  </si>
  <si>
    <t>Liveweight (kg)</t>
  </si>
  <si>
    <t>LWG/day (kg/day)</t>
  </si>
  <si>
    <t>MJME/day for Maintenance</t>
  </si>
  <si>
    <t>MJME/day for LWG</t>
  </si>
  <si>
    <t>Total DM @11MJME/kg (kgDM)</t>
  </si>
  <si>
    <t>MS (kg)</t>
  </si>
  <si>
    <t>kgMS/head</t>
  </si>
  <si>
    <t>$/head</t>
  </si>
  <si>
    <t>$/head/week</t>
  </si>
  <si>
    <t>If you have entered YES, please enter your individual variable operating costs below</t>
  </si>
  <si>
    <t>Milk price</t>
  </si>
  <si>
    <t>const#3</t>
  </si>
  <si>
    <t>Assumptions</t>
  </si>
  <si>
    <t>* Feed which would normally go into milk production is instead used for heifer growth</t>
  </si>
  <si>
    <t>* Feed requirements are based on data from Facts &amp; Figures, with a seasonal growth pattern applied for dairy heifers</t>
  </si>
  <si>
    <t>* Heifer growth patterns are based on spring born animals</t>
  </si>
  <si>
    <t>* Milking cow feed demand is based on feed requirements necessary for selected milk production and herd average breed weights</t>
  </si>
  <si>
    <t>* Assumed mature liveweights for heifers based on 2015 breed averages: Friesian 500kg, Crossbred 467kg and Jersey 423kg</t>
  </si>
  <si>
    <t>* Heifer feed requirements are based on meeting target liveweights equal to mature liveweight of breed type selected—30% at 6 months, 60% at 15 months and 90% at 22 months</t>
  </si>
  <si>
    <t>* Farm stock sales are reduced due to the lower number of cows available to be culled from the dairy herd; a multi-season, multi-region average of $120/cow is used</t>
  </si>
  <si>
    <t>* Multi-season, multi-region averages for variable costs per cow used in the primary calculation are: Animal health $78, Breeding &amp; Herd Improvement $49, Dairy Shed expenses $23, and Electricity $43</t>
  </si>
  <si>
    <t>* Heifers are assumed to be the same breed and targeted mature liveweight as cows currently milking on the farm</t>
  </si>
  <si>
    <t>* The "value to graze off" is calculated as; Reduced milk solids production (lower milking cow numbers) + reduced livestock sales (cull cows), minus a reduction in per cow variable operating costs (animal health, breeding &amp; herd improvement, farm dairy, and electricity)</t>
  </si>
  <si>
    <t>* Stocking rate: If heifers are kept on the milking platform the equivalent number of milking cows is adjusted down 
relative to feed requirements</t>
  </si>
  <si>
    <t>Calculations assess the difference between grazing heifers on the milking platform or off where the heifers are replaced with milking cows on the effective dairy area.</t>
  </si>
  <si>
    <t>* All heifers are grazed on or off the dairy farm, if this is not the case adjust the % replacement rate. Example: 20% replacements are reared but only half are considered for grazing off, enter 10% into the calculator rather than 20%.</t>
  </si>
  <si>
    <t>Overview</t>
  </si>
  <si>
    <t>YES</t>
  </si>
  <si>
    <t>OUTPUT</t>
  </si>
  <si>
    <t>INPUT</t>
  </si>
  <si>
    <t>Estimated break even by breed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</si>
</sst>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8" formatCode="&quot;$&quot;#,##0.00;[Red]\-&quot;$&quot;#,##0.00"/>
    <numFmt numFmtId="164" formatCode="&quot;$&quot;#,##0"/>
    <numFmt numFmtId="165" formatCode="&quot;$&quot;#,##0.00"/>
    <numFmt numFmtId="166" formatCode="0.0"/>
    <numFmt numFmtId="167" formatCode="0.000"/>
    <numFmt numFmtId="168" formatCode="#,##0.0"/>
    <numFmt numFmtId="169" formatCode="#,##0.000000"/>
  </numFmts>
  <fonts count="2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1"/>
      <name val="Calibri"/>
      <family val="2"/>
    </font>
    <font>
      <b/>
      <sz val="11"/>
      <color theme="1"/>
      <name val="Calibri"/>
      <family val="2"/>
    </font>
    <font>
      <sz val="11"/>
      <color rgb="FF000000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  <scheme val="minor"/>
    </font>
    <font>
      <sz val="12"/>
      <color theme="1"/>
      <name val="Calibri"/>
      <family val="2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  <font>
      <sz val="11"/>
      <color theme="8"/>
      <name val="Calibri"/>
      <family val="2"/>
      <scheme val="minor"/>
    </font>
    <font>
      <sz val="11"/>
      <color theme="1" tint="0.499984740745262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9"/>
      <name val="Calibri"/>
      <family val="2"/>
      <scheme val="minor"/>
    </font>
    <font>
      <sz val="11"/>
      <color theme="2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theme="0"/>
      <name val="Calibri"/>
      <family val="2"/>
    </font>
    <font>
      <b/>
      <sz val="11"/>
      <color indexed="8"/>
      <name val="Calibri"/>
      <family val="2"/>
      <scheme val="minor"/>
    </font>
    <font>
      <i/>
      <sz val="11"/>
      <color theme="1"/>
      <name val="Calibri"/>
      <family val="2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i/>
      <sz val="18"/>
      <color theme="0"/>
      <name val="Arial"/>
      <family val="2"/>
    </font>
    <font>
      <sz val="11"/>
      <color rgb="FF69BE28"/>
      <name val="Calibri"/>
      <family val="2"/>
      <scheme val="minor"/>
    </font>
    <font>
      <b/>
      <i/>
      <sz val="12"/>
      <color theme="0"/>
      <name val="Arial"/>
      <family val="2"/>
    </font>
    <font>
      <sz val="12"/>
      <color rgb="FFFF0000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/>
        <bgColor rgb="FF000000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000000"/>
      </patternFill>
    </fill>
    <fill>
      <patternFill patternType="solid">
        <fgColor theme="0"/>
        <bgColor indexed="64"/>
      </patternFill>
    </fill>
    <fill>
      <patternFill patternType="solid">
        <fgColor rgb="FF69BE28"/>
        <bgColor indexed="64"/>
      </patternFill>
    </fill>
    <fill>
      <patternFill patternType="solid">
        <fgColor rgb="FFABE480"/>
        <bgColor indexed="64"/>
      </patternFill>
    </fill>
    <fill>
      <patternFill patternType="solid">
        <fgColor rgb="FF353735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 style="thin">
        <color indexed="64"/>
      </right>
      <top/>
      <bottom/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2" borderId="2" applyNumberFormat="0" applyFont="0" applyAlignment="0" applyProtection="0"/>
  </cellStyleXfs>
  <cellXfs count="152">
    <xf numFmtId="0" fontId="0" fillId="0" borderId="0" xfId="0"/>
    <xf numFmtId="0" fontId="2" fillId="0" borderId="0" xfId="0" applyFont="1"/>
    <xf numFmtId="0" fontId="0" fillId="0" borderId="0" xfId="0" applyAlignment="1">
      <alignment wrapText="1"/>
    </xf>
    <xf numFmtId="0" fontId="0" fillId="0" borderId="0" xfId="0" applyBorder="1"/>
    <xf numFmtId="0" fontId="0" fillId="0" borderId="0" xfId="0" applyFont="1"/>
    <xf numFmtId="0" fontId="0" fillId="0" borderId="0" xfId="0"/>
    <xf numFmtId="0" fontId="0" fillId="3" borderId="2" xfId="2" applyFont="1" applyFill="1"/>
    <xf numFmtId="0" fontId="10" fillId="0" borderId="0" xfId="0" applyFont="1"/>
    <xf numFmtId="0" fontId="11" fillId="0" borderId="0" xfId="0" applyFont="1"/>
    <xf numFmtId="3" fontId="12" fillId="0" borderId="0" xfId="0" applyNumberFormat="1" applyFont="1"/>
    <xf numFmtId="0" fontId="0" fillId="0" borderId="3" xfId="0" applyBorder="1"/>
    <xf numFmtId="3" fontId="12" fillId="0" borderId="3" xfId="0" applyNumberFormat="1" applyFont="1" applyBorder="1"/>
    <xf numFmtId="0" fontId="0" fillId="0" borderId="3" xfId="0" applyBorder="1" applyAlignment="1">
      <alignment wrapText="1"/>
    </xf>
    <xf numFmtId="0" fontId="13" fillId="0" borderId="0" xfId="0" applyFont="1"/>
    <xf numFmtId="0" fontId="0" fillId="0" borderId="0" xfId="0" applyAlignment="1">
      <alignment vertical="center"/>
    </xf>
    <xf numFmtId="0" fontId="0" fillId="0" borderId="7" xfId="0" applyBorder="1"/>
    <xf numFmtId="0" fontId="9" fillId="0" borderId="0" xfId="0" applyFont="1" applyAlignment="1">
      <alignment wrapText="1"/>
    </xf>
    <xf numFmtId="0" fontId="14" fillId="0" borderId="0" xfId="0" applyFont="1"/>
    <xf numFmtId="0" fontId="14" fillId="0" borderId="0" xfId="0" applyFont="1" applyBorder="1"/>
    <xf numFmtId="0" fontId="0" fillId="4" borderId="2" xfId="2" applyFont="1" applyFill="1" applyAlignment="1">
      <alignment wrapText="1"/>
    </xf>
    <xf numFmtId="0" fontId="0" fillId="4" borderId="2" xfId="2" applyFont="1" applyFill="1"/>
    <xf numFmtId="0" fontId="0" fillId="4" borderId="2" xfId="2" applyFont="1" applyFill="1" applyAlignment="1">
      <alignment horizontal="right"/>
    </xf>
    <xf numFmtId="0" fontId="0" fillId="4" borderId="2" xfId="2" applyFont="1" applyFill="1" applyAlignment="1">
      <alignment horizontal="right" wrapText="1"/>
    </xf>
    <xf numFmtId="0" fontId="15" fillId="0" borderId="0" xfId="0" applyFont="1"/>
    <xf numFmtId="0" fontId="15" fillId="0" borderId="7" xfId="0" applyFont="1" applyBorder="1"/>
    <xf numFmtId="3" fontId="14" fillId="0" borderId="0" xfId="0" applyNumberFormat="1" applyFont="1"/>
    <xf numFmtId="4" fontId="14" fillId="0" borderId="0" xfId="0" applyNumberFormat="1" applyFont="1"/>
    <xf numFmtId="166" fontId="15" fillId="0" borderId="0" xfId="0" applyNumberFormat="1" applyFont="1"/>
    <xf numFmtId="3" fontId="15" fillId="0" borderId="0" xfId="0" applyNumberFormat="1" applyFont="1"/>
    <xf numFmtId="167" fontId="15" fillId="0" borderId="0" xfId="0" applyNumberFormat="1" applyFont="1"/>
    <xf numFmtId="4" fontId="15" fillId="0" borderId="0" xfId="0" applyNumberFormat="1" applyFont="1"/>
    <xf numFmtId="0" fontId="1" fillId="4" borderId="2" xfId="2" applyFont="1" applyFill="1"/>
    <xf numFmtId="0" fontId="0" fillId="4" borderId="2" xfId="2" applyFont="1" applyFill="1" applyAlignment="1">
      <alignment horizontal="center"/>
    </xf>
    <xf numFmtId="0" fontId="10" fillId="4" borderId="2" xfId="2" applyFont="1" applyFill="1" applyAlignment="1">
      <alignment horizontal="right"/>
    </xf>
    <xf numFmtId="0" fontId="0" fillId="4" borderId="2" xfId="2" applyFont="1" applyFill="1" applyAlignment="1">
      <alignment horizontal="left"/>
    </xf>
    <xf numFmtId="0" fontId="0" fillId="5" borderId="1" xfId="0" applyFill="1" applyBorder="1"/>
    <xf numFmtId="0" fontId="0" fillId="5" borderId="1" xfId="0" applyFont="1" applyFill="1" applyBorder="1" applyAlignment="1" applyProtection="1">
      <alignment horizontal="center"/>
      <protection locked="0"/>
    </xf>
    <xf numFmtId="9" fontId="3" fillId="5" borderId="1" xfId="1" applyFont="1" applyFill="1" applyBorder="1" applyAlignment="1" applyProtection="1">
      <alignment horizontal="center"/>
      <protection locked="0"/>
    </xf>
    <xf numFmtId="0" fontId="3" fillId="6" borderId="1" xfId="0" applyFont="1" applyFill="1" applyBorder="1" applyAlignment="1" applyProtection="1">
      <alignment horizontal="center"/>
      <protection locked="0"/>
    </xf>
    <xf numFmtId="165" fontId="0" fillId="5" borderId="1" xfId="0" applyNumberFormat="1" applyFill="1" applyBorder="1" applyAlignment="1" applyProtection="1">
      <alignment horizontal="center"/>
      <protection locked="0"/>
    </xf>
    <xf numFmtId="0" fontId="0" fillId="7" borderId="1" xfId="0" applyFill="1" applyBorder="1"/>
    <xf numFmtId="2" fontId="3" fillId="6" borderId="1" xfId="0" applyNumberFormat="1" applyFont="1" applyFill="1" applyBorder="1" applyAlignment="1" applyProtection="1">
      <alignment horizontal="center"/>
      <protection locked="0"/>
    </xf>
    <xf numFmtId="9" fontId="4" fillId="5" borderId="1" xfId="1" applyFont="1" applyFill="1" applyBorder="1" applyAlignment="1" applyProtection="1">
      <alignment horizontal="center"/>
      <protection locked="0"/>
    </xf>
    <xf numFmtId="0" fontId="18" fillId="0" borderId="0" xfId="0" applyFont="1"/>
    <xf numFmtId="0" fontId="0" fillId="9" borderId="0" xfId="0" applyFill="1"/>
    <xf numFmtId="0" fontId="0" fillId="9" borderId="0" xfId="0" applyFill="1" applyBorder="1"/>
    <xf numFmtId="168" fontId="15" fillId="0" borderId="0" xfId="0" applyNumberFormat="1" applyFont="1"/>
    <xf numFmtId="166" fontId="15" fillId="0" borderId="0" xfId="0" applyNumberFormat="1" applyFont="1" applyBorder="1"/>
    <xf numFmtId="166" fontId="15" fillId="0" borderId="7" xfId="0" applyNumberFormat="1" applyFont="1" applyBorder="1"/>
    <xf numFmtId="166" fontId="14" fillId="0" borderId="0" xfId="0" applyNumberFormat="1" applyFont="1"/>
    <xf numFmtId="0" fontId="20" fillId="0" borderId="0" xfId="0" applyFont="1"/>
    <xf numFmtId="0" fontId="21" fillId="0" borderId="0" xfId="0" applyFont="1"/>
    <xf numFmtId="0" fontId="21" fillId="9" borderId="0" xfId="0" applyFont="1" applyFill="1"/>
    <xf numFmtId="8" fontId="21" fillId="9" borderId="0" xfId="0" applyNumberFormat="1" applyFont="1" applyFill="1"/>
    <xf numFmtId="0" fontId="2" fillId="9" borderId="0" xfId="0" applyFont="1" applyFill="1"/>
    <xf numFmtId="0" fontId="0" fillId="9" borderId="0" xfId="0" applyFill="1" applyAlignment="1">
      <alignment wrapText="1"/>
    </xf>
    <xf numFmtId="0" fontId="0" fillId="0" borderId="0" xfId="0" applyProtection="1"/>
    <xf numFmtId="0" fontId="0" fillId="0" borderId="0" xfId="0" applyFill="1" applyProtection="1"/>
    <xf numFmtId="0" fontId="0" fillId="0" borderId="0" xfId="0" applyBorder="1" applyProtection="1"/>
    <xf numFmtId="0" fontId="2" fillId="0" borderId="8" xfId="0" applyFont="1" applyBorder="1" applyAlignment="1" applyProtection="1">
      <alignment wrapText="1"/>
    </xf>
    <xf numFmtId="0" fontId="2" fillId="0" borderId="8" xfId="0" applyFont="1" applyFill="1" applyBorder="1" applyAlignment="1" applyProtection="1">
      <alignment wrapText="1"/>
    </xf>
    <xf numFmtId="0" fontId="0" fillId="0" borderId="8" xfId="0" applyBorder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Fill="1" applyBorder="1" applyAlignment="1" applyProtection="1">
      <alignment wrapText="1"/>
    </xf>
    <xf numFmtId="0" fontId="0" fillId="0" borderId="0" xfId="0" applyFont="1" applyProtection="1"/>
    <xf numFmtId="0" fontId="0" fillId="0" borderId="0" xfId="0" applyFont="1" applyFill="1" applyBorder="1" applyAlignment="1" applyProtection="1">
      <alignment horizontal="center"/>
    </xf>
    <xf numFmtId="0" fontId="0" fillId="0" borderId="0" xfId="0" quotePrefix="1" applyProtection="1"/>
    <xf numFmtId="0" fontId="0" fillId="0" borderId="0" xfId="0" applyAlignment="1" applyProtection="1">
      <alignment horizontal="left" wrapText="1"/>
    </xf>
    <xf numFmtId="0" fontId="0" fillId="0" borderId="0" xfId="0" applyBorder="1" applyAlignment="1" applyProtection="1">
      <alignment horizontal="left" wrapText="1"/>
    </xf>
    <xf numFmtId="0" fontId="3" fillId="0" borderId="0" xfId="0" applyFont="1" applyFill="1" applyBorder="1" applyAlignment="1" applyProtection="1"/>
    <xf numFmtId="0" fontId="3" fillId="0" borderId="0" xfId="0" applyFont="1" applyFill="1" applyBorder="1" applyAlignment="1" applyProtection="1">
      <alignment wrapText="1"/>
    </xf>
    <xf numFmtId="9" fontId="3" fillId="0" borderId="0" xfId="1" applyFont="1" applyFill="1" applyBorder="1" applyAlignment="1" applyProtection="1">
      <alignment horizontal="center"/>
    </xf>
    <xf numFmtId="0" fontId="5" fillId="0" borderId="0" xfId="0" applyFont="1" applyFill="1" applyBorder="1" applyProtection="1"/>
    <xf numFmtId="165" fontId="3" fillId="0" borderId="0" xfId="0" applyNumberFormat="1" applyFont="1" applyFill="1" applyBorder="1" applyAlignment="1" applyProtection="1">
      <alignment horizontal="center"/>
    </xf>
    <xf numFmtId="0" fontId="0" fillId="0" borderId="0" xfId="0" applyAlignment="1" applyProtection="1">
      <alignment horizontal="left" indent="1"/>
    </xf>
    <xf numFmtId="0" fontId="3" fillId="0" borderId="0" xfId="0" applyFont="1" applyFill="1" applyBorder="1" applyAlignment="1" applyProtection="1">
      <alignment horizontal="center"/>
    </xf>
    <xf numFmtId="0" fontId="3" fillId="0" borderId="0" xfId="0" applyFont="1" applyFill="1" applyBorder="1" applyProtection="1"/>
    <xf numFmtId="0" fontId="19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horizontal="left" wrapText="1"/>
    </xf>
    <xf numFmtId="0" fontId="7" fillId="0" borderId="0" xfId="0" applyFont="1" applyBorder="1" applyProtection="1"/>
    <xf numFmtId="0" fontId="8" fillId="0" borderId="0" xfId="0" applyFont="1" applyFill="1" applyBorder="1" applyProtection="1"/>
    <xf numFmtId="165" fontId="8" fillId="0" borderId="0" xfId="0" applyNumberFormat="1" applyFont="1" applyFill="1" applyBorder="1" applyAlignment="1" applyProtection="1">
      <alignment horizontal="center"/>
    </xf>
    <xf numFmtId="0" fontId="7" fillId="0" borderId="0" xfId="0" applyFont="1" applyProtection="1"/>
    <xf numFmtId="0" fontId="0" fillId="0" borderId="0" xfId="0" applyFont="1" applyAlignment="1" applyProtection="1">
      <alignment horizontal="left" indent="1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 wrapText="1"/>
    </xf>
    <xf numFmtId="0" fontId="2" fillId="0" borderId="0" xfId="0" applyFont="1" applyFill="1" applyProtection="1"/>
    <xf numFmtId="0" fontId="2" fillId="0" borderId="0" xfId="0" applyFont="1" applyProtection="1"/>
    <xf numFmtId="165" fontId="0" fillId="0" borderId="0" xfId="0" applyNumberFormat="1" applyFill="1" applyBorder="1" applyAlignment="1" applyProtection="1">
      <alignment horizontal="center"/>
    </xf>
    <xf numFmtId="0" fontId="2" fillId="0" borderId="0" xfId="0" applyFont="1" applyAlignment="1" applyProtection="1">
      <alignment horizontal="left" indent="1"/>
    </xf>
    <xf numFmtId="0" fontId="0" fillId="0" borderId="8" xfId="0" applyFont="1" applyBorder="1" applyProtection="1"/>
    <xf numFmtId="165" fontId="0" fillId="0" borderId="8" xfId="0" applyNumberFormat="1" applyFill="1" applyBorder="1" applyAlignment="1" applyProtection="1">
      <alignment horizontal="center"/>
    </xf>
    <xf numFmtId="0" fontId="3" fillId="0" borderId="8" xfId="0" applyFont="1" applyFill="1" applyBorder="1" applyProtection="1"/>
    <xf numFmtId="165" fontId="3" fillId="0" borderId="8" xfId="0" applyNumberFormat="1" applyFont="1" applyFill="1" applyBorder="1" applyAlignment="1" applyProtection="1">
      <alignment horizontal="center"/>
    </xf>
    <xf numFmtId="0" fontId="0" fillId="0" borderId="0" xfId="0" applyFont="1" applyBorder="1" applyProtection="1"/>
    <xf numFmtId="0" fontId="10" fillId="0" borderId="0" xfId="0" applyFont="1" applyBorder="1" applyProtection="1"/>
    <xf numFmtId="0" fontId="10" fillId="0" borderId="0" xfId="0" applyFont="1" applyProtection="1"/>
    <xf numFmtId="165" fontId="2" fillId="0" borderId="0" xfId="0" applyNumberFormat="1" applyFont="1" applyFill="1" applyBorder="1" applyAlignment="1" applyProtection="1">
      <alignment horizontal="center"/>
    </xf>
    <xf numFmtId="0" fontId="0" fillId="0" borderId="0" xfId="0" applyFont="1" applyFill="1" applyProtection="1"/>
    <xf numFmtId="1" fontId="3" fillId="8" borderId="1" xfId="0" applyNumberFormat="1" applyFont="1" applyFill="1" applyBorder="1" applyAlignment="1" applyProtection="1">
      <alignment horizontal="center"/>
    </xf>
    <xf numFmtId="164" fontId="3" fillId="0" borderId="0" xfId="0" applyNumberFormat="1" applyFont="1" applyFill="1" applyBorder="1" applyAlignment="1" applyProtection="1">
      <alignment horizontal="center"/>
    </xf>
    <xf numFmtId="2" fontId="0" fillId="0" borderId="0" xfId="0" applyNumberFormat="1" applyProtection="1"/>
    <xf numFmtId="0" fontId="0" fillId="0" borderId="0" xfId="0" applyAlignment="1" applyProtection="1">
      <alignment horizontal="center"/>
    </xf>
    <xf numFmtId="0" fontId="0" fillId="0" borderId="0" xfId="0" applyBorder="1" applyAlignment="1" applyProtection="1">
      <alignment horizontal="center"/>
    </xf>
    <xf numFmtId="2" fontId="3" fillId="8" borderId="1" xfId="0" applyNumberFormat="1" applyFont="1" applyFill="1" applyBorder="1" applyAlignment="1" applyProtection="1">
      <alignment horizontal="center"/>
    </xf>
    <xf numFmtId="0" fontId="16" fillId="0" borderId="0" xfId="0" applyFont="1" applyBorder="1" applyProtection="1"/>
    <xf numFmtId="165" fontId="17" fillId="0" borderId="0" xfId="0" applyNumberFormat="1" applyFont="1" applyFill="1" applyBorder="1" applyAlignment="1" applyProtection="1">
      <alignment horizontal="center"/>
    </xf>
    <xf numFmtId="0" fontId="16" fillId="0" borderId="0" xfId="0" applyFont="1" applyBorder="1" applyAlignment="1" applyProtection="1">
      <alignment horizontal="left" wrapText="1"/>
    </xf>
    <xf numFmtId="165" fontId="2" fillId="7" borderId="1" xfId="0" applyNumberFormat="1" applyFont="1" applyFill="1" applyBorder="1" applyAlignment="1" applyProtection="1">
      <alignment horizontal="center"/>
      <protection locked="0"/>
    </xf>
    <xf numFmtId="0" fontId="16" fillId="0" borderId="0" xfId="0" applyFont="1" applyBorder="1" applyProtection="1"/>
    <xf numFmtId="0" fontId="9" fillId="0" borderId="0" xfId="0" applyFont="1" applyProtection="1"/>
    <xf numFmtId="0" fontId="9" fillId="0" borderId="0" xfId="0" applyFont="1" applyBorder="1" applyProtection="1"/>
    <xf numFmtId="0" fontId="9" fillId="0" borderId="0" xfId="0" applyFont="1" applyAlignment="1" applyProtection="1">
      <alignment horizontal="left" wrapText="1"/>
    </xf>
    <xf numFmtId="0" fontId="9" fillId="0" borderId="0" xfId="0" applyFont="1" applyFill="1" applyBorder="1" applyProtection="1"/>
    <xf numFmtId="0" fontId="9" fillId="0" borderId="0" xfId="0" applyFont="1" applyFill="1" applyProtection="1"/>
    <xf numFmtId="169" fontId="15" fillId="0" borderId="0" xfId="0" applyNumberFormat="1" applyFont="1"/>
    <xf numFmtId="0" fontId="16" fillId="0" borderId="0" xfId="0" applyFont="1" applyProtection="1"/>
    <xf numFmtId="0" fontId="21" fillId="9" borderId="0" xfId="0" applyFont="1" applyFill="1" applyAlignment="1">
      <alignment horizontal="left" wrapText="1"/>
    </xf>
    <xf numFmtId="0" fontId="9" fillId="9" borderId="0" xfId="0" applyFont="1" applyFill="1" applyAlignment="1">
      <alignment horizontal="left" wrapText="1"/>
    </xf>
    <xf numFmtId="0" fontId="0" fillId="9" borderId="0" xfId="0" applyFont="1" applyFill="1" applyBorder="1" applyAlignment="1">
      <alignment wrapText="1"/>
    </xf>
    <xf numFmtId="0" fontId="22" fillId="10" borderId="0" xfId="0" applyFont="1" applyFill="1" applyAlignment="1">
      <alignment horizontal="left" vertical="center" indent="2"/>
    </xf>
    <xf numFmtId="0" fontId="23" fillId="10" borderId="0" xfId="0" applyFont="1" applyFill="1" applyAlignment="1">
      <alignment horizontal="left" vertical="center" indent="2"/>
    </xf>
    <xf numFmtId="0" fontId="0" fillId="11" borderId="0" xfId="0" applyFill="1"/>
    <xf numFmtId="0" fontId="0" fillId="3" borderId="0" xfId="0" applyFill="1" applyAlignment="1">
      <alignment wrapText="1"/>
    </xf>
    <xf numFmtId="0" fontId="24" fillId="10" borderId="0" xfId="0" applyFont="1" applyFill="1" applyAlignment="1">
      <alignment horizontal="left" vertical="center" indent="2"/>
    </xf>
    <xf numFmtId="0" fontId="0" fillId="10" borderId="0" xfId="0" applyFill="1" applyAlignment="1">
      <alignment horizontal="left" indent="2"/>
    </xf>
    <xf numFmtId="0" fontId="0" fillId="3" borderId="0" xfId="0" applyFont="1" applyFill="1" applyBorder="1"/>
    <xf numFmtId="0" fontId="2" fillId="3" borderId="0" xfId="0" applyFont="1" applyFill="1" applyBorder="1"/>
    <xf numFmtId="0" fontId="0" fillId="3" borderId="0" xfId="0" applyFill="1" applyBorder="1"/>
    <xf numFmtId="0" fontId="0" fillId="3" borderId="0" xfId="0" applyFill="1"/>
    <xf numFmtId="0" fontId="0" fillId="3" borderId="0" xfId="0" applyFill="1" applyBorder="1" applyAlignment="1">
      <alignment horizontal="left" wrapText="1"/>
    </xf>
    <xf numFmtId="0" fontId="0" fillId="3" borderId="0" xfId="0" applyFill="1" applyBorder="1" applyAlignment="1">
      <alignment horizontal="left"/>
    </xf>
    <xf numFmtId="0" fontId="0" fillId="3" borderId="0" xfId="0" applyFill="1" applyBorder="1" applyAlignment="1"/>
    <xf numFmtId="0" fontId="24" fillId="9" borderId="0" xfId="0" applyFont="1" applyFill="1" applyAlignment="1">
      <alignment horizontal="left" vertical="center" indent="2"/>
    </xf>
    <xf numFmtId="0" fontId="0" fillId="9" borderId="0" xfId="0" applyFill="1" applyAlignment="1">
      <alignment horizontal="left" indent="2"/>
    </xf>
    <xf numFmtId="0" fontId="0" fillId="9" borderId="0" xfId="0" applyFill="1" applyBorder="1" applyAlignment="1"/>
    <xf numFmtId="0" fontId="0" fillId="12" borderId="0" xfId="0" applyFill="1"/>
    <xf numFmtId="0" fontId="0" fillId="9" borderId="0" xfId="0" applyFill="1" applyProtection="1"/>
    <xf numFmtId="0" fontId="9" fillId="9" borderId="0" xfId="0" applyFont="1" applyFill="1" applyBorder="1" applyProtection="1"/>
    <xf numFmtId="0" fontId="25" fillId="0" borderId="0" xfId="0" applyFont="1" applyProtection="1"/>
    <xf numFmtId="0" fontId="2" fillId="0" borderId="0" xfId="0" applyFont="1" applyBorder="1" applyProtection="1"/>
    <xf numFmtId="0" fontId="0" fillId="11" borderId="0" xfId="0" applyFont="1" applyFill="1" applyBorder="1" applyAlignment="1">
      <alignment horizontal="center" vertical="center" wrapText="1"/>
    </xf>
    <xf numFmtId="0" fontId="0" fillId="3" borderId="0" xfId="0" applyFont="1" applyFill="1" applyBorder="1" applyAlignment="1">
      <alignment horizontal="left" wrapText="1"/>
    </xf>
    <xf numFmtId="0" fontId="0" fillId="9" borderId="0" xfId="0" applyFont="1" applyFill="1" applyBorder="1" applyAlignment="1">
      <alignment horizontal="center" wrapText="1"/>
    </xf>
    <xf numFmtId="0" fontId="10" fillId="3" borderId="0" xfId="0" applyFont="1" applyFill="1" applyAlignment="1">
      <alignment horizontal="left" wrapText="1"/>
    </xf>
    <xf numFmtId="0" fontId="0" fillId="4" borderId="4" xfId="2" applyFont="1" applyFill="1" applyBorder="1" applyAlignment="1">
      <alignment horizontal="center" wrapText="1"/>
    </xf>
    <xf numFmtId="0" fontId="0" fillId="4" borderId="5" xfId="2" applyFont="1" applyFill="1" applyBorder="1" applyAlignment="1">
      <alignment horizontal="center" wrapText="1"/>
    </xf>
    <xf numFmtId="0" fontId="0" fillId="4" borderId="6" xfId="2" applyFont="1" applyFill="1" applyBorder="1" applyAlignment="1">
      <alignment horizontal="center" wrapText="1"/>
    </xf>
    <xf numFmtId="0" fontId="1" fillId="4" borderId="2" xfId="2" applyFont="1" applyFill="1" applyAlignment="1">
      <alignment horizontal="center" vertical="center"/>
    </xf>
    <xf numFmtId="0" fontId="0" fillId="0" borderId="0" xfId="0" applyAlignment="1">
      <alignment horizontal="left" vertical="center" wrapText="1"/>
    </xf>
    <xf numFmtId="0" fontId="0" fillId="4" borderId="2" xfId="2" applyFont="1" applyFill="1" applyAlignment="1">
      <alignment horizontal="center"/>
    </xf>
  </cellXfs>
  <cellStyles count="3">
    <cellStyle name="Normal" xfId="0" builtinId="0"/>
    <cellStyle name="Note" xfId="2" builtinId="10"/>
    <cellStyle name="Percent" xfId="1" builtinId="5"/>
  </cellStyles>
  <dxfs count="1">
    <dxf>
      <font>
        <color theme="2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5</xdr:row>
      <xdr:rowOff>0</xdr:rowOff>
    </xdr:from>
    <xdr:to>
      <xdr:col>9</xdr:col>
      <xdr:colOff>0</xdr:colOff>
      <xdr:row>14</xdr:row>
      <xdr:rowOff>11206</xdr:rowOff>
    </xdr:to>
    <xdr:sp macro="" textlink="">
      <xdr:nvSpPr>
        <xdr:cNvPr id="7" name="TextBox 6">
          <a:extLst>
            <a:ext uri="{FF2B5EF4-FFF2-40B4-BE49-F238E27FC236}">
              <a16:creationId xmlns:a16="http://schemas.microsoft.com/office/drawing/2014/main" id="{CC23BF9B-DDC1-4329-A804-4AAC8288CD63}"/>
            </a:ext>
          </a:extLst>
        </xdr:cNvPr>
        <xdr:cNvSpPr txBox="1"/>
      </xdr:nvSpPr>
      <xdr:spPr>
        <a:xfrm>
          <a:off x="156882" y="1557618"/>
          <a:ext cx="3955677" cy="1927412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Two values are calculated: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The value of grazing an R1 for 6 months (e.g.  4-5 months through to 10 months of age)</a:t>
          </a:r>
          <a:r>
            <a:rPr lang="en-NZ"/>
            <a:t> 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The value of R2 grazing from 12 months (e.g.  10 months to 22 months of age)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The "value to graze off" figure should be compared to the cost of contract grazing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endParaRPr lang="en-NZ" sz="1100"/>
        </a:p>
      </xdr:txBody>
    </xdr:sp>
    <xdr:clientData/>
  </xdr:twoCellAnchor>
  <xdr:twoCellAnchor>
    <xdr:from>
      <xdr:col>10</xdr:col>
      <xdr:colOff>1</xdr:colOff>
      <xdr:row>9</xdr:row>
      <xdr:rowOff>145678</xdr:rowOff>
    </xdr:from>
    <xdr:to>
      <xdr:col>16</xdr:col>
      <xdr:colOff>0</xdr:colOff>
      <xdr:row>14</xdr:row>
      <xdr:rowOff>11205</xdr:rowOff>
    </xdr:to>
    <xdr:sp macro="" textlink="">
      <xdr:nvSpPr>
        <xdr:cNvPr id="8" name="TextBox 7">
          <a:extLst>
            <a:ext uri="{FF2B5EF4-FFF2-40B4-BE49-F238E27FC236}">
              <a16:creationId xmlns:a16="http://schemas.microsoft.com/office/drawing/2014/main" id="{1C92A887-6274-4CDB-B59A-F515AA0DF756}"/>
            </a:ext>
          </a:extLst>
        </xdr:cNvPr>
        <xdr:cNvSpPr txBox="1"/>
      </xdr:nvSpPr>
      <xdr:spPr>
        <a:xfrm>
          <a:off x="4717677" y="2510119"/>
          <a:ext cx="3350558" cy="974910"/>
        </a:xfrm>
        <a:prstGeom prst="rect">
          <a:avLst/>
        </a:prstGeom>
        <a:solidFill>
          <a:schemeClr val="bg1">
            <a:lumMod val="95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It is recommended that when calculating  the value of heifer grazing,  take a long term view rather than milk price at the moment. </a:t>
          </a:r>
          <a:r>
            <a:rPr lang="en-NZ"/>
            <a:t>  </a:t>
          </a:r>
          <a:endParaRPr lang="en-NZ" sz="1100" b="0" i="0" u="none" strike="noStrike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Av 2011 - 2015 (5yrs) 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$6.51</a:t>
          </a:r>
          <a:r>
            <a:rPr lang="en-NZ"/>
            <a:t> </a:t>
          </a:r>
        </a:p>
        <a:p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	Av 2006 - 2015 (10 yrs.)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en-NZ"/>
            <a:t> </a:t>
          </a:r>
          <a:r>
            <a:rPr lang="en-NZ" sz="1100" b="0" i="0" u="none" strike="noStrike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$6.00</a:t>
          </a:r>
          <a:r>
            <a:rPr lang="en-NZ"/>
            <a:t> </a:t>
          </a:r>
          <a:endParaRPr lang="en-NZ" sz="1100"/>
        </a:p>
      </xdr:txBody>
    </xdr:sp>
    <xdr:clientData/>
  </xdr:twoCellAnchor>
  <xdr:twoCellAnchor>
    <xdr:from>
      <xdr:col>1</xdr:col>
      <xdr:colOff>0</xdr:colOff>
      <xdr:row>28</xdr:row>
      <xdr:rowOff>168087</xdr:rowOff>
    </xdr:from>
    <xdr:to>
      <xdr:col>15</xdr:col>
      <xdr:colOff>582706</xdr:colOff>
      <xdr:row>37</xdr:row>
      <xdr:rowOff>100852</xdr:rowOff>
    </xdr:to>
    <xdr:sp macro="" textlink="">
      <xdr:nvSpPr>
        <xdr:cNvPr id="9" name="TextBox 8">
          <a:extLst>
            <a:ext uri="{FF2B5EF4-FFF2-40B4-BE49-F238E27FC236}">
              <a16:creationId xmlns:a16="http://schemas.microsoft.com/office/drawing/2014/main" id="{CC0EBF87-2403-4FF2-B821-AFC48078B9F7}"/>
            </a:ext>
          </a:extLst>
        </xdr:cNvPr>
        <xdr:cNvSpPr txBox="1"/>
      </xdr:nvSpPr>
      <xdr:spPr>
        <a:xfrm>
          <a:off x="156882" y="7519146"/>
          <a:ext cx="7888942" cy="1647265"/>
        </a:xfrm>
        <a:prstGeom prst="rect">
          <a:avLst/>
        </a:prstGeom>
        <a:solidFill>
          <a:srgbClr val="ABE480"/>
        </a:solidFill>
        <a:ln/>
      </xdr:spPr>
      <xdr:style>
        <a:lnRef idx="2">
          <a:schemeClr val="dk1"/>
        </a:lnRef>
        <a:fillRef idx="1">
          <a:schemeClr val="lt1"/>
        </a:fillRef>
        <a:effectRef idx="0">
          <a:schemeClr val="dk1"/>
        </a:effectRef>
        <a:fontRef idx="minor">
          <a:schemeClr val="dk1"/>
        </a:fontRef>
      </xdr:style>
      <xdr:txBody>
        <a:bodyPr wrap="square" rtlCol="0" anchor="ctr"/>
        <a:lstStyle/>
        <a:p>
          <a:pPr>
            <a:spcAft>
              <a:spcPts val="0"/>
            </a:spcAft>
          </a:pPr>
          <a:r>
            <a:rPr lang="en-NZ" sz="1100" b="1">
              <a:solidFill>
                <a:srgbClr val="000000"/>
              </a:solidFill>
              <a:effectLst/>
              <a:ea typeface="Times New Roman"/>
              <a:cs typeface="Times New Roman"/>
            </a:rPr>
            <a:t>DISCLAIMER</a:t>
          </a:r>
          <a:endParaRPr lang="en-NZ" sz="11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n-NZ" sz="1100">
              <a:solidFill>
                <a:srgbClr val="000000"/>
              </a:solidFill>
              <a:effectLst/>
              <a:ea typeface="Times New Roman"/>
              <a:cs typeface="Times New Roman"/>
            </a:rPr>
            <a:t>This calculator has been developed with the purpose of assisting farmers in selecting</a:t>
          </a:r>
          <a:r>
            <a:rPr lang="en-NZ" sz="1100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a suitable grazing enterprise. </a:t>
          </a:r>
          <a:r>
            <a:rPr lang="en-NZ" sz="1100">
              <a:solidFill>
                <a:srgbClr val="000000"/>
              </a:solidFill>
              <a:effectLst/>
              <a:ea typeface="Times New Roman"/>
              <a:cs typeface="Times New Roman"/>
            </a:rPr>
            <a:t>Read the instructions and limitations of the model available on this page. The model may be too simple  to be the</a:t>
          </a:r>
          <a:r>
            <a:rPr lang="en-NZ" sz="1100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sole basis of decision making. Accuracy</a:t>
          </a:r>
          <a:r>
            <a:rPr lang="en-NZ" sz="1100">
              <a:solidFill>
                <a:srgbClr val="000000"/>
              </a:solidFill>
              <a:effectLst/>
              <a:ea typeface="Times New Roman"/>
              <a:cs typeface="Times New Roman"/>
            </a:rPr>
            <a:t> is dependent on information entered by you, the user, and this information has not been verified or screened for accuracy. The calculator should be used to assist with decisions around the</a:t>
          </a:r>
          <a:r>
            <a:rPr lang="en-NZ" sz="1100" baseline="0">
              <a:solidFill>
                <a:srgbClr val="000000"/>
              </a:solidFill>
              <a:effectLst/>
              <a:ea typeface="Times New Roman"/>
              <a:cs typeface="Times New Roman"/>
            </a:rPr>
            <a:t> grazing enterprise chosen</a:t>
          </a:r>
          <a:r>
            <a:rPr lang="en-NZ" sz="1100">
              <a:solidFill>
                <a:srgbClr val="000000"/>
              </a:solidFill>
              <a:effectLst/>
              <a:ea typeface="Times New Roman"/>
              <a:cs typeface="Times New Roman"/>
            </a:rPr>
            <a:t>. </a:t>
          </a:r>
          <a:endParaRPr lang="en-NZ" sz="1100">
            <a:effectLst/>
            <a:latin typeface="Times New Roman"/>
            <a:ea typeface="Times New Roman"/>
          </a:endParaRPr>
        </a:p>
        <a:p>
          <a:pPr>
            <a:spcAft>
              <a:spcPts val="0"/>
            </a:spcAft>
          </a:pPr>
          <a:r>
            <a:rPr lang="en-NZ" sz="1100">
              <a:solidFill>
                <a:srgbClr val="000000"/>
              </a:solidFill>
              <a:effectLst/>
              <a:ea typeface="Times New Roman"/>
              <a:cs typeface="Times New Roman"/>
            </a:rPr>
            <a:t> </a:t>
          </a:r>
          <a:endParaRPr lang="en-NZ" sz="1100">
            <a:effectLst/>
            <a:latin typeface="Times New Roman"/>
            <a:ea typeface="Times New Roman"/>
          </a:endParaRPr>
        </a:p>
        <a:p>
          <a:pPr>
            <a:lnSpc>
              <a:spcPts val="1200"/>
            </a:lnSpc>
            <a:spcAft>
              <a:spcPts val="0"/>
            </a:spcAft>
          </a:pPr>
          <a:r>
            <a:rPr lang="en-NZ" sz="1100">
              <a:solidFill>
                <a:srgbClr val="000000"/>
              </a:solidFill>
              <a:effectLst/>
              <a:ea typeface="Times New Roman"/>
              <a:cs typeface="Times New Roman"/>
            </a:rPr>
            <a:t>DairyNZ accepts no liability of any kind whatsoever, including liability by reason of negligence, to any person(s) or entity for losses incurred as a result of placing reliance on the outputs generated by this calculator.</a:t>
          </a:r>
          <a:endParaRPr lang="en-NZ" sz="1100">
            <a:effectLst/>
            <a:latin typeface="Times New Roman"/>
            <a:ea typeface="Times New Roman"/>
          </a:endParaRPr>
        </a:p>
      </xdr:txBody>
    </xdr:sp>
    <xdr:clientData/>
  </xdr:twoCellAnchor>
  <xdr:twoCellAnchor editAs="oneCell">
    <xdr:from>
      <xdr:col>13</xdr:col>
      <xdr:colOff>25129</xdr:colOff>
      <xdr:row>38</xdr:row>
      <xdr:rowOff>140072</xdr:rowOff>
    </xdr:from>
    <xdr:to>
      <xdr:col>15</xdr:col>
      <xdr:colOff>477844</xdr:colOff>
      <xdr:row>41</xdr:row>
      <xdr:rowOff>111497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75EF4DBA-34AC-4849-9847-96CF5DEB519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87511" y="9396131"/>
          <a:ext cx="1853451" cy="542925"/>
        </a:xfrm>
        <a:prstGeom prst="rect">
          <a:avLst/>
        </a:prstGeom>
      </xdr:spPr>
    </xdr:pic>
    <xdr:clientData/>
  </xdr:twoCellAnchor>
  <xdr:twoCellAnchor editAs="oneCell">
    <xdr:from>
      <xdr:col>14</xdr:col>
      <xdr:colOff>571500</xdr:colOff>
      <xdr:row>0</xdr:row>
      <xdr:rowOff>78442</xdr:rowOff>
    </xdr:from>
    <xdr:to>
      <xdr:col>15</xdr:col>
      <xdr:colOff>467011</xdr:colOff>
      <xdr:row>0</xdr:row>
      <xdr:rowOff>597775</xdr:rowOff>
    </xdr:to>
    <xdr:pic>
      <xdr:nvPicPr>
        <xdr:cNvPr id="11" name="Picture 10">
          <a:extLst>
            <a:ext uri="{FF2B5EF4-FFF2-40B4-BE49-F238E27FC236}">
              <a16:creationId xmlns:a16="http://schemas.microsoft.com/office/drawing/2014/main" id="{C6118FA0-86FF-4F0C-82D2-FDD9B380B46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29500" y="78442"/>
          <a:ext cx="500629" cy="519333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571500</xdr:colOff>
      <xdr:row>0</xdr:row>
      <xdr:rowOff>78442</xdr:rowOff>
    </xdr:from>
    <xdr:to>
      <xdr:col>14</xdr:col>
      <xdr:colOff>467011</xdr:colOff>
      <xdr:row>0</xdr:row>
      <xdr:rowOff>698628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FFD4F19-0FA2-4D8C-9D6B-0583F175043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400925" y="78442"/>
          <a:ext cx="495586" cy="519333"/>
        </a:xfrm>
        <a:prstGeom prst="rect">
          <a:avLst/>
        </a:prstGeom>
      </xdr:spPr>
    </xdr:pic>
    <xdr:clientData/>
  </xdr:twoCellAnchor>
  <xdr:twoCellAnchor editAs="oneCell">
    <xdr:from>
      <xdr:col>10</xdr:col>
      <xdr:colOff>585423</xdr:colOff>
      <xdr:row>37</xdr:row>
      <xdr:rowOff>16806</xdr:rowOff>
    </xdr:from>
    <xdr:to>
      <xdr:col>14</xdr:col>
      <xdr:colOff>257088</xdr:colOff>
      <xdr:row>39</xdr:row>
      <xdr:rowOff>178731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514D2234-DF90-4053-88B8-F14A8A5BF2C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38423" y="7928159"/>
          <a:ext cx="1868018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airyNZ">
      <a:dk1>
        <a:srgbClr val="000000"/>
      </a:dk1>
      <a:lt1>
        <a:sysClr val="window" lastClr="FFFFFF"/>
      </a:lt1>
      <a:dk2>
        <a:srgbClr val="000000"/>
      </a:dk2>
      <a:lt2>
        <a:srgbClr val="808080"/>
      </a:lt2>
      <a:accent1>
        <a:srgbClr val="BBE0E3"/>
      </a:accent1>
      <a:accent2>
        <a:srgbClr val="333399"/>
      </a:accent2>
      <a:accent3>
        <a:srgbClr val="DAEDEF"/>
      </a:accent3>
      <a:accent4>
        <a:srgbClr val="414B3C"/>
      </a:accent4>
      <a:accent5>
        <a:srgbClr val="7DBE41"/>
      </a:accent5>
      <a:accent6>
        <a:srgbClr val="00A0AF"/>
      </a:accent6>
      <a:hlink>
        <a:srgbClr val="0070C0"/>
      </a:hlink>
      <a:folHlink>
        <a:srgbClr val="7030A0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E42"/>
  <sheetViews>
    <sheetView tabSelected="1" zoomScale="85" zoomScaleNormal="85" workbookViewId="0">
      <selection activeCell="C19" sqref="C19:P19"/>
    </sheetView>
  </sheetViews>
  <sheetFormatPr defaultColWidth="9" defaultRowHeight="15" x14ac:dyDescent="0.25"/>
  <cols>
    <col min="1" max="2" width="2.42578125" style="44" customWidth="1"/>
    <col min="3" max="6" width="9" style="44"/>
    <col min="7" max="7" width="2.5703125" style="44" customWidth="1"/>
    <col min="8" max="11" width="9" style="44"/>
    <col min="12" max="12" width="2" style="44" customWidth="1"/>
    <col min="13" max="13" width="9" style="44"/>
    <col min="14" max="14" width="12" style="44" customWidth="1"/>
    <col min="15" max="15" width="9" style="44"/>
    <col min="16" max="16" width="9" style="44" customWidth="1"/>
    <col min="17" max="16384" width="9" style="44"/>
  </cols>
  <sheetData>
    <row r="1" spans="1:21" ht="60" customHeight="1" x14ac:dyDescent="0.25">
      <c r="A1" s="121" t="s">
        <v>132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</row>
    <row r="2" spans="1:21" ht="17.25" customHeight="1" x14ac:dyDescent="0.25">
      <c r="A2" s="123"/>
      <c r="B2" s="142" t="s">
        <v>159</v>
      </c>
      <c r="C2" s="142"/>
      <c r="D2" s="142"/>
      <c r="E2" s="142"/>
      <c r="F2" s="142"/>
      <c r="G2" s="142"/>
      <c r="H2" s="142"/>
      <c r="I2" s="142"/>
      <c r="J2" s="142"/>
      <c r="K2" s="142"/>
      <c r="L2" s="142"/>
      <c r="M2" s="142"/>
      <c r="N2" s="142"/>
      <c r="O2" s="142"/>
      <c r="P2" s="142"/>
    </row>
    <row r="3" spans="1:21" x14ac:dyDescent="0.25">
      <c r="A3" s="123"/>
      <c r="B3" s="142"/>
      <c r="C3" s="142"/>
      <c r="D3" s="142"/>
      <c r="E3" s="142"/>
      <c r="F3" s="142"/>
      <c r="G3" s="142"/>
      <c r="H3" s="142"/>
      <c r="I3" s="142"/>
      <c r="J3" s="142"/>
      <c r="K3" s="142"/>
      <c r="L3" s="142"/>
      <c r="M3" s="142"/>
      <c r="N3" s="142"/>
      <c r="O3" s="142"/>
      <c r="P3" s="142"/>
    </row>
    <row r="4" spans="1:21" s="54" customFormat="1" ht="15" customHeight="1" x14ac:dyDescent="0.25">
      <c r="B4" s="144"/>
      <c r="C4" s="144"/>
      <c r="D4" s="144"/>
      <c r="E4" s="144"/>
      <c r="F4" s="144"/>
      <c r="G4" s="144"/>
      <c r="H4" s="144"/>
      <c r="I4" s="144"/>
      <c r="J4" s="144"/>
      <c r="K4" s="144"/>
      <c r="L4" s="144"/>
      <c r="M4" s="144"/>
      <c r="N4" s="144"/>
      <c r="O4" s="144"/>
      <c r="P4" s="144"/>
      <c r="Q4" s="120"/>
      <c r="R4" s="120"/>
      <c r="S4" s="44"/>
      <c r="T4" s="44"/>
      <c r="U4" s="44"/>
    </row>
    <row r="5" spans="1:21" s="54" customFormat="1" ht="15" customHeight="1" x14ac:dyDescent="0.25">
      <c r="B5" s="125" t="s">
        <v>161</v>
      </c>
      <c r="C5" s="126"/>
      <c r="D5" s="126"/>
      <c r="E5" s="126"/>
      <c r="F5" s="126"/>
      <c r="G5" s="126"/>
      <c r="H5" s="125"/>
      <c r="I5" s="125"/>
      <c r="J5" s="134"/>
      <c r="K5" s="125" t="s">
        <v>73</v>
      </c>
      <c r="L5" s="125"/>
      <c r="M5" s="126"/>
      <c r="N5" s="126"/>
      <c r="O5" s="126"/>
      <c r="P5" s="126"/>
      <c r="Q5" s="120"/>
      <c r="R5" s="44"/>
      <c r="S5" s="44"/>
      <c r="T5" s="44"/>
    </row>
    <row r="6" spans="1:21" x14ac:dyDescent="0.25">
      <c r="B6" s="127"/>
      <c r="C6" s="128"/>
      <c r="D6" s="129"/>
      <c r="E6" s="129"/>
      <c r="F6" s="129"/>
      <c r="G6" s="129"/>
      <c r="H6" s="129"/>
      <c r="I6" s="129"/>
      <c r="J6" s="45"/>
      <c r="K6" s="129"/>
      <c r="L6" s="129"/>
      <c r="M6" s="129"/>
      <c r="N6" s="129"/>
      <c r="O6" s="130"/>
      <c r="P6" s="130"/>
    </row>
    <row r="7" spans="1:21" ht="15.75" customHeight="1" x14ac:dyDescent="0.25">
      <c r="B7" s="133"/>
      <c r="C7" s="133"/>
      <c r="D7" s="133"/>
      <c r="E7" s="133"/>
      <c r="F7" s="133"/>
      <c r="G7" s="133"/>
      <c r="H7" s="133"/>
      <c r="I7" s="133"/>
      <c r="J7" s="136"/>
      <c r="K7" s="129" t="s">
        <v>74</v>
      </c>
      <c r="L7" s="130"/>
      <c r="M7" s="129"/>
      <c r="N7" s="129"/>
      <c r="O7" s="35"/>
      <c r="P7" s="130"/>
    </row>
    <row r="8" spans="1:21" ht="15.75" customHeight="1" x14ac:dyDescent="0.25">
      <c r="B8" s="131"/>
      <c r="C8" s="132"/>
      <c r="D8" s="131"/>
      <c r="E8" s="131"/>
      <c r="F8" s="131"/>
      <c r="G8" s="131"/>
      <c r="H8" s="131"/>
      <c r="I8" s="129"/>
      <c r="J8" s="45"/>
      <c r="K8" s="129"/>
      <c r="L8" s="129"/>
      <c r="M8" s="129"/>
      <c r="N8" s="129"/>
      <c r="O8" s="129"/>
      <c r="P8" s="130"/>
    </row>
    <row r="9" spans="1:21" ht="16.5" customHeight="1" x14ac:dyDescent="0.25">
      <c r="B9" s="133"/>
      <c r="C9" s="133"/>
      <c r="D9" s="133"/>
      <c r="E9" s="133"/>
      <c r="F9" s="133"/>
      <c r="G9" s="133"/>
      <c r="H9" s="133"/>
      <c r="I9" s="129"/>
      <c r="J9" s="45"/>
      <c r="K9" s="129" t="s">
        <v>96</v>
      </c>
      <c r="L9" s="129"/>
      <c r="M9" s="129"/>
      <c r="N9" s="129"/>
      <c r="O9" s="40"/>
      <c r="P9" s="130"/>
    </row>
    <row r="10" spans="1:21" x14ac:dyDescent="0.25">
      <c r="B10" s="129"/>
      <c r="C10" s="129"/>
      <c r="D10" s="129"/>
      <c r="E10" s="129"/>
      <c r="F10" s="129"/>
      <c r="G10" s="129"/>
      <c r="H10" s="129"/>
      <c r="I10" s="129"/>
      <c r="J10" s="45"/>
      <c r="K10" s="129"/>
      <c r="L10" s="130"/>
      <c r="M10" s="129"/>
      <c r="N10" s="129"/>
      <c r="O10" s="129"/>
      <c r="P10" s="130"/>
    </row>
    <row r="11" spans="1:21" x14ac:dyDescent="0.25">
      <c r="B11" s="129"/>
      <c r="C11" s="129"/>
      <c r="D11" s="129"/>
      <c r="E11" s="129"/>
      <c r="F11" s="129"/>
      <c r="G11" s="129"/>
      <c r="H11" s="129"/>
      <c r="I11" s="129"/>
      <c r="J11" s="45"/>
      <c r="K11" s="129"/>
      <c r="L11" s="129"/>
      <c r="M11" s="129"/>
      <c r="N11" s="129"/>
      <c r="O11" s="129"/>
      <c r="P11" s="130"/>
    </row>
    <row r="12" spans="1:21" ht="27" customHeight="1" x14ac:dyDescent="0.25">
      <c r="B12" s="143"/>
      <c r="C12" s="143"/>
      <c r="D12" s="143"/>
      <c r="E12" s="143"/>
      <c r="F12" s="143"/>
      <c r="G12" s="143"/>
      <c r="H12" s="143"/>
      <c r="I12" s="129"/>
      <c r="J12" s="45"/>
      <c r="K12" s="129"/>
      <c r="L12" s="129"/>
      <c r="M12" s="129"/>
      <c r="N12" s="129"/>
      <c r="O12" s="129"/>
      <c r="P12" s="130"/>
    </row>
    <row r="13" spans="1:21" x14ac:dyDescent="0.25">
      <c r="G13" s="45"/>
      <c r="K13" s="129"/>
      <c r="L13" s="129"/>
      <c r="M13" s="129"/>
      <c r="N13" s="129"/>
      <c r="O13" s="129"/>
      <c r="P13" s="130"/>
    </row>
    <row r="15" spans="1:21" x14ac:dyDescent="0.25">
      <c r="B15" s="134"/>
      <c r="C15" s="135"/>
      <c r="D15" s="135"/>
      <c r="E15" s="135"/>
      <c r="F15" s="135"/>
      <c r="G15" s="135"/>
      <c r="H15" s="134"/>
      <c r="I15" s="134"/>
      <c r="J15" s="134"/>
      <c r="K15" s="134"/>
      <c r="L15" s="134"/>
      <c r="M15" s="134"/>
      <c r="N15" s="134"/>
      <c r="O15" s="134"/>
      <c r="P15" s="134"/>
      <c r="Q15" s="55"/>
    </row>
    <row r="16" spans="1:21" x14ac:dyDescent="0.25">
      <c r="B16" s="125" t="s">
        <v>147</v>
      </c>
      <c r="C16" s="126"/>
      <c r="D16" s="126"/>
      <c r="E16" s="126"/>
      <c r="F16" s="126"/>
      <c r="G16" s="126"/>
      <c r="H16" s="125"/>
      <c r="I16" s="126"/>
      <c r="J16" s="126"/>
      <c r="K16" s="126"/>
      <c r="L16" s="126"/>
      <c r="M16" s="126"/>
      <c r="N16" s="126"/>
      <c r="O16" s="125"/>
      <c r="P16" s="126"/>
    </row>
    <row r="17" spans="2:31" s="55" customFormat="1" ht="30" customHeight="1" x14ac:dyDescent="0.25">
      <c r="B17" s="124"/>
      <c r="C17" s="145" t="s">
        <v>158</v>
      </c>
      <c r="D17" s="145"/>
      <c r="E17" s="145"/>
      <c r="F17" s="145"/>
      <c r="G17" s="145"/>
      <c r="H17" s="145"/>
      <c r="I17" s="145"/>
      <c r="J17" s="145"/>
      <c r="K17" s="145"/>
      <c r="L17" s="145"/>
      <c r="M17" s="145"/>
      <c r="N17" s="145"/>
      <c r="O17" s="145"/>
      <c r="P17" s="145"/>
      <c r="Q17" s="119"/>
      <c r="R17" s="119"/>
      <c r="U17" s="44"/>
      <c r="V17" s="44"/>
      <c r="W17" s="44"/>
      <c r="X17" s="44"/>
      <c r="Y17" s="44"/>
      <c r="Z17" s="44"/>
      <c r="AA17" s="44"/>
      <c r="AB17" s="44"/>
      <c r="AC17" s="44"/>
      <c r="AD17" s="44"/>
      <c r="AE17" s="44"/>
    </row>
    <row r="18" spans="2:31" s="55" customFormat="1" ht="30" customHeight="1" x14ac:dyDescent="0.25">
      <c r="B18" s="124"/>
      <c r="C18" s="145" t="s">
        <v>160</v>
      </c>
      <c r="D18" s="145"/>
      <c r="E18" s="145"/>
      <c r="F18" s="145"/>
      <c r="G18" s="145"/>
      <c r="H18" s="145"/>
      <c r="I18" s="145"/>
      <c r="J18" s="145"/>
      <c r="K18" s="145"/>
      <c r="L18" s="145"/>
      <c r="M18" s="145"/>
      <c r="N18" s="145"/>
      <c r="O18" s="145"/>
      <c r="P18" s="145"/>
      <c r="Q18" s="119"/>
      <c r="R18" s="119"/>
      <c r="U18" s="44"/>
      <c r="V18" s="44"/>
      <c r="W18" s="44"/>
      <c r="X18" s="44"/>
      <c r="Y18" s="44"/>
      <c r="Z18" s="44"/>
      <c r="AA18" s="44"/>
      <c r="AB18" s="44"/>
      <c r="AC18" s="44"/>
      <c r="AD18" s="44"/>
      <c r="AE18" s="44"/>
    </row>
    <row r="19" spans="2:31" s="55" customFormat="1" ht="15.75" customHeight="1" x14ac:dyDescent="0.25">
      <c r="B19" s="124"/>
      <c r="C19" s="145" t="s">
        <v>148</v>
      </c>
      <c r="D19" s="145"/>
      <c r="E19" s="145"/>
      <c r="F19" s="145"/>
      <c r="G19" s="145"/>
      <c r="H19" s="145"/>
      <c r="I19" s="145"/>
      <c r="J19" s="145"/>
      <c r="K19" s="145"/>
      <c r="L19" s="145"/>
      <c r="M19" s="145"/>
      <c r="N19" s="145"/>
      <c r="O19" s="145"/>
      <c r="P19" s="145"/>
      <c r="Q19" s="118"/>
      <c r="R19" s="118"/>
      <c r="U19" s="44"/>
      <c r="V19" s="44"/>
      <c r="W19" s="44"/>
      <c r="X19" s="44"/>
      <c r="Y19" s="44"/>
      <c r="Z19" s="44"/>
      <c r="AA19" s="44"/>
      <c r="AB19" s="44"/>
      <c r="AC19" s="44"/>
      <c r="AD19" s="44"/>
      <c r="AE19" s="44"/>
    </row>
    <row r="20" spans="2:31" s="55" customFormat="1" ht="15.75" customHeight="1" x14ac:dyDescent="0.25">
      <c r="B20" s="124"/>
      <c r="C20" s="145" t="s">
        <v>149</v>
      </c>
      <c r="D20" s="145"/>
      <c r="E20" s="145"/>
      <c r="F20" s="145"/>
      <c r="G20" s="145"/>
      <c r="H20" s="145"/>
      <c r="I20" s="145"/>
      <c r="J20" s="145"/>
      <c r="K20" s="145"/>
      <c r="L20" s="145"/>
      <c r="M20" s="145"/>
      <c r="N20" s="145"/>
      <c r="O20" s="145"/>
      <c r="P20" s="145"/>
      <c r="Q20" s="118"/>
      <c r="R20" s="118"/>
      <c r="U20" s="44"/>
      <c r="V20" s="44"/>
      <c r="W20" s="44"/>
      <c r="X20" s="44"/>
      <c r="Y20" s="44"/>
      <c r="Z20" s="44"/>
      <c r="AA20" s="44"/>
      <c r="AB20" s="44"/>
      <c r="AC20" s="44"/>
      <c r="AD20" s="44"/>
      <c r="AE20" s="44"/>
    </row>
    <row r="21" spans="2:31" s="55" customFormat="1" ht="15.75" customHeight="1" x14ac:dyDescent="0.25">
      <c r="B21" s="124"/>
      <c r="C21" s="145" t="s">
        <v>150</v>
      </c>
      <c r="D21" s="145"/>
      <c r="E21" s="145"/>
      <c r="F21" s="145"/>
      <c r="G21" s="145"/>
      <c r="H21" s="145"/>
      <c r="I21" s="145"/>
      <c r="J21" s="145"/>
      <c r="K21" s="145"/>
      <c r="L21" s="145"/>
      <c r="M21" s="145"/>
      <c r="N21" s="145"/>
      <c r="O21" s="145"/>
      <c r="P21" s="145"/>
      <c r="Q21" s="118"/>
      <c r="R21" s="118"/>
      <c r="U21" s="44"/>
      <c r="V21" s="44"/>
      <c r="W21" s="44"/>
      <c r="X21" s="44"/>
      <c r="Y21" s="44"/>
      <c r="Z21" s="44"/>
      <c r="AA21" s="44"/>
      <c r="AB21" s="44"/>
      <c r="AC21" s="44"/>
      <c r="AD21" s="44"/>
      <c r="AE21" s="44"/>
    </row>
    <row r="22" spans="2:31" s="55" customFormat="1" ht="15.75" customHeight="1" x14ac:dyDescent="0.25">
      <c r="B22" s="124"/>
      <c r="C22" s="145" t="s">
        <v>156</v>
      </c>
      <c r="D22" s="145"/>
      <c r="E22" s="145"/>
      <c r="F22" s="145"/>
      <c r="G22" s="145"/>
      <c r="H22" s="145"/>
      <c r="I22" s="145"/>
      <c r="J22" s="145"/>
      <c r="K22" s="145"/>
      <c r="L22" s="145"/>
      <c r="M22" s="145"/>
      <c r="N22" s="145"/>
      <c r="O22" s="145"/>
      <c r="P22" s="145"/>
      <c r="Q22" s="119"/>
      <c r="R22" s="119"/>
      <c r="U22" s="44"/>
      <c r="V22" s="44"/>
      <c r="W22" s="44"/>
      <c r="X22" s="44"/>
      <c r="Y22" s="44"/>
      <c r="Z22" s="44"/>
      <c r="AA22" s="44"/>
      <c r="AB22" s="44"/>
      <c r="AC22" s="44"/>
      <c r="AD22" s="44"/>
      <c r="AE22" s="44"/>
    </row>
    <row r="23" spans="2:31" s="55" customFormat="1" ht="15.75" customHeight="1" x14ac:dyDescent="0.25">
      <c r="B23" s="124"/>
      <c r="C23" s="145" t="s">
        <v>151</v>
      </c>
      <c r="D23" s="145"/>
      <c r="E23" s="145"/>
      <c r="F23" s="145"/>
      <c r="G23" s="145"/>
      <c r="H23" s="145"/>
      <c r="I23" s="145"/>
      <c r="J23" s="145"/>
      <c r="K23" s="145"/>
      <c r="L23" s="145"/>
      <c r="M23" s="145"/>
      <c r="N23" s="145"/>
      <c r="O23" s="145"/>
      <c r="P23" s="145"/>
      <c r="Q23" s="118"/>
      <c r="R23" s="118"/>
      <c r="U23" s="44"/>
      <c r="V23" s="44"/>
      <c r="W23" s="44"/>
      <c r="X23" s="44"/>
      <c r="Y23" s="44"/>
      <c r="Z23" s="44"/>
      <c r="AA23" s="44"/>
      <c r="AB23" s="44"/>
      <c r="AC23" s="44"/>
      <c r="AD23" s="44"/>
      <c r="AE23" s="44"/>
    </row>
    <row r="24" spans="2:31" s="55" customFormat="1" ht="15" customHeight="1" x14ac:dyDescent="0.25">
      <c r="B24" s="124"/>
      <c r="C24" s="145" t="s">
        <v>152</v>
      </c>
      <c r="D24" s="145"/>
      <c r="E24" s="145"/>
      <c r="F24" s="145"/>
      <c r="G24" s="145"/>
      <c r="H24" s="145"/>
      <c r="I24" s="145"/>
      <c r="J24" s="145"/>
      <c r="K24" s="145"/>
      <c r="L24" s="145"/>
      <c r="M24" s="145"/>
      <c r="N24" s="145"/>
      <c r="O24" s="145"/>
      <c r="P24" s="145"/>
      <c r="Q24" s="119"/>
      <c r="R24" s="119"/>
      <c r="U24" s="44"/>
      <c r="V24" s="44"/>
      <c r="W24" s="44"/>
      <c r="X24" s="44"/>
      <c r="Y24" s="44"/>
      <c r="Z24" s="44"/>
      <c r="AA24" s="44"/>
      <c r="AB24" s="44"/>
      <c r="AC24" s="44"/>
      <c r="AD24" s="44"/>
      <c r="AE24" s="44"/>
    </row>
    <row r="25" spans="2:31" s="55" customFormat="1" ht="30" customHeight="1" x14ac:dyDescent="0.25">
      <c r="B25" s="124"/>
      <c r="C25" s="145" t="s">
        <v>153</v>
      </c>
      <c r="D25" s="145"/>
      <c r="E25" s="145"/>
      <c r="F25" s="145"/>
      <c r="G25" s="145"/>
      <c r="H25" s="145"/>
      <c r="I25" s="145"/>
      <c r="J25" s="145"/>
      <c r="K25" s="145"/>
      <c r="L25" s="145"/>
      <c r="M25" s="145"/>
      <c r="N25" s="145"/>
      <c r="O25" s="145"/>
      <c r="P25" s="145"/>
      <c r="Q25" s="119"/>
      <c r="R25" s="119"/>
      <c r="U25" s="44"/>
      <c r="V25" s="44"/>
      <c r="W25" s="44"/>
      <c r="X25" s="44"/>
      <c r="Y25" s="44"/>
      <c r="Z25" s="44"/>
      <c r="AA25" s="44"/>
      <c r="AB25" s="44"/>
      <c r="AC25" s="44"/>
      <c r="AD25" s="44"/>
      <c r="AE25" s="44"/>
    </row>
    <row r="26" spans="2:31" s="55" customFormat="1" ht="15.75" customHeight="1" x14ac:dyDescent="0.25">
      <c r="B26" s="124"/>
      <c r="C26" s="145" t="s">
        <v>154</v>
      </c>
      <c r="D26" s="145"/>
      <c r="E26" s="145"/>
      <c r="F26" s="145"/>
      <c r="G26" s="145"/>
      <c r="H26" s="145"/>
      <c r="I26" s="145"/>
      <c r="J26" s="145"/>
      <c r="K26" s="145"/>
      <c r="L26" s="145"/>
      <c r="M26" s="145"/>
      <c r="N26" s="145"/>
      <c r="O26" s="145"/>
      <c r="P26" s="145"/>
      <c r="Q26" s="118"/>
      <c r="R26" s="118"/>
      <c r="U26" s="44"/>
      <c r="V26" s="44"/>
      <c r="W26" s="44"/>
      <c r="X26" s="44"/>
      <c r="Y26" s="44"/>
      <c r="Z26" s="44"/>
      <c r="AA26" s="44"/>
      <c r="AB26" s="44"/>
      <c r="AC26" s="44"/>
      <c r="AD26" s="44"/>
      <c r="AE26" s="44"/>
    </row>
    <row r="27" spans="2:31" s="55" customFormat="1" ht="45" customHeight="1" x14ac:dyDescent="0.25">
      <c r="B27" s="124"/>
      <c r="C27" s="145" t="s">
        <v>157</v>
      </c>
      <c r="D27" s="145"/>
      <c r="E27" s="145"/>
      <c r="F27" s="145"/>
      <c r="G27" s="145"/>
      <c r="H27" s="145"/>
      <c r="I27" s="145"/>
      <c r="J27" s="145"/>
      <c r="K27" s="145"/>
      <c r="L27" s="145"/>
      <c r="M27" s="145"/>
      <c r="N27" s="145"/>
      <c r="O27" s="145"/>
      <c r="P27" s="145"/>
      <c r="Q27" s="118"/>
      <c r="R27" s="118"/>
      <c r="U27" s="44"/>
      <c r="V27" s="44"/>
      <c r="W27" s="44"/>
      <c r="X27" s="44"/>
      <c r="Y27" s="44"/>
      <c r="Z27" s="44"/>
      <c r="AA27" s="44"/>
      <c r="AB27" s="44"/>
      <c r="AC27" s="44"/>
      <c r="AD27" s="44"/>
      <c r="AE27" s="44"/>
    </row>
    <row r="28" spans="2:31" s="55" customFormat="1" ht="30" customHeight="1" x14ac:dyDescent="0.25">
      <c r="B28" s="124"/>
      <c r="C28" s="145" t="s">
        <v>155</v>
      </c>
      <c r="D28" s="145"/>
      <c r="E28" s="145"/>
      <c r="F28" s="145"/>
      <c r="G28" s="145"/>
      <c r="H28" s="145"/>
      <c r="I28" s="145"/>
      <c r="J28" s="145"/>
      <c r="K28" s="145"/>
      <c r="L28" s="145"/>
      <c r="M28" s="145"/>
      <c r="N28" s="145"/>
      <c r="O28" s="145"/>
      <c r="P28" s="145"/>
      <c r="Q28" s="118"/>
      <c r="R28" s="118"/>
    </row>
    <row r="29" spans="2:31" x14ac:dyDescent="0.25">
      <c r="U29" s="55"/>
      <c r="V29" s="55"/>
      <c r="W29" s="55"/>
      <c r="X29" s="55"/>
    </row>
    <row r="30" spans="2:31" x14ac:dyDescent="0.25">
      <c r="B30" s="50"/>
      <c r="U30" s="55"/>
      <c r="V30" s="55"/>
      <c r="W30" s="55"/>
      <c r="X30" s="55"/>
    </row>
    <row r="31" spans="2:31" x14ac:dyDescent="0.25">
      <c r="C31" s="52"/>
      <c r="F31" s="53"/>
      <c r="U31" s="55"/>
      <c r="V31" s="55"/>
      <c r="W31" s="55"/>
      <c r="X31" s="55"/>
    </row>
    <row r="32" spans="2:31" x14ac:dyDescent="0.25">
      <c r="C32" s="52"/>
      <c r="F32" s="53"/>
      <c r="U32" s="55"/>
      <c r="V32" s="55"/>
      <c r="W32" s="55"/>
      <c r="X32" s="55"/>
    </row>
    <row r="33" spans="1:24" x14ac:dyDescent="0.25">
      <c r="U33" s="55"/>
      <c r="V33" s="55"/>
      <c r="W33" s="55"/>
      <c r="X33" s="55"/>
    </row>
    <row r="34" spans="1:24" x14ac:dyDescent="0.25">
      <c r="B34" s="51"/>
      <c r="U34" s="55"/>
      <c r="V34" s="55"/>
      <c r="W34" s="55"/>
      <c r="X34" s="55"/>
    </row>
    <row r="35" spans="1:24" x14ac:dyDescent="0.25">
      <c r="B35" s="51"/>
      <c r="U35" s="55"/>
      <c r="V35" s="55"/>
      <c r="W35" s="55"/>
      <c r="X35" s="55"/>
    </row>
    <row r="39" spans="1:24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137"/>
    </row>
    <row r="40" spans="1:24" x14ac:dyDescent="0.2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137"/>
    </row>
    <row r="41" spans="1:24" x14ac:dyDescent="0.25">
      <c r="A41" s="137"/>
      <c r="B41" s="137"/>
      <c r="C41" s="137"/>
      <c r="D41" s="137"/>
      <c r="E41" s="137"/>
      <c r="F41" s="137"/>
      <c r="G41" s="137"/>
      <c r="H41" s="137"/>
      <c r="I41" s="137"/>
      <c r="J41" s="137"/>
      <c r="K41" s="137"/>
      <c r="L41" s="137"/>
      <c r="M41" s="137"/>
      <c r="N41" s="137"/>
      <c r="O41" s="137"/>
      <c r="P41" s="137"/>
    </row>
    <row r="42" spans="1:24" x14ac:dyDescent="0.25">
      <c r="A42" s="137"/>
      <c r="B42" s="137"/>
      <c r="C42" s="137"/>
      <c r="D42" s="137"/>
      <c r="E42" s="137"/>
      <c r="F42" s="137"/>
      <c r="G42" s="137"/>
      <c r="H42" s="137"/>
      <c r="I42" s="137"/>
      <c r="J42" s="137"/>
      <c r="K42" s="137"/>
      <c r="L42" s="137"/>
      <c r="M42" s="137"/>
      <c r="N42" s="137"/>
      <c r="O42" s="137"/>
      <c r="P42" s="137"/>
    </row>
  </sheetData>
  <sheetProtection algorithmName="SHA-512" hashValue="12iKxfe2thpL2fEo9OlPy9uyDRACVYLrGUITSUlcPiMKlpuToC1Q4EdzjU+cYO2CD73+uu7RCsaUT0Aur99q+w==" saltValue="Jweb4KG9Kggdggo54MaNDA==" spinCount="100000" sheet="1" objects="1" scenarios="1" selectLockedCells="1" selectUnlockedCells="1"/>
  <mergeCells count="15">
    <mergeCell ref="C25:P25"/>
    <mergeCell ref="C26:P26"/>
    <mergeCell ref="C28:P28"/>
    <mergeCell ref="C27:P27"/>
    <mergeCell ref="C17:P17"/>
    <mergeCell ref="C18:P18"/>
    <mergeCell ref="C19:P19"/>
    <mergeCell ref="C20:P20"/>
    <mergeCell ref="C21:P21"/>
    <mergeCell ref="C22:P22"/>
    <mergeCell ref="B2:P3"/>
    <mergeCell ref="B12:H12"/>
    <mergeCell ref="B4:P4"/>
    <mergeCell ref="C23:P23"/>
    <mergeCell ref="C24:P24"/>
  </mergeCells>
  <pageMargins left="0.7" right="0.7" top="0.75" bottom="0.7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AH46"/>
  <sheetViews>
    <sheetView showGridLines="0" zoomScale="85" zoomScaleNormal="85" workbookViewId="0">
      <selection activeCell="I20" sqref="I20"/>
    </sheetView>
  </sheetViews>
  <sheetFormatPr defaultColWidth="9" defaultRowHeight="15" x14ac:dyDescent="0.25"/>
  <cols>
    <col min="1" max="1" width="2.42578125" style="56" customWidth="1"/>
    <col min="2" max="4" width="9" style="56" customWidth="1"/>
    <col min="5" max="5" width="9" style="57" customWidth="1"/>
    <col min="6" max="7" width="9" style="56" customWidth="1"/>
    <col min="8" max="8" width="2.42578125" style="56" customWidth="1"/>
    <col min="9" max="9" width="12.5703125" style="56" customWidth="1"/>
    <col min="10" max="10" width="2.5703125" style="56" customWidth="1"/>
    <col min="11" max="11" width="12.42578125" style="56" customWidth="1"/>
    <col min="12" max="12" width="9" style="56" customWidth="1"/>
    <col min="13" max="13" width="2.42578125" style="58" customWidth="1"/>
    <col min="14" max="14" width="9" style="58" customWidth="1"/>
    <col min="15" max="15" width="9" style="56"/>
    <col min="16" max="16" width="9" style="58"/>
    <col min="17" max="19" width="9" style="56"/>
    <col min="20" max="20" width="17.5703125" style="56" bestFit="1" customWidth="1"/>
    <col min="21" max="21" width="32.5703125" style="56" bestFit="1" customWidth="1"/>
    <col min="22" max="22" width="11.140625" style="56" customWidth="1"/>
    <col min="23" max="16384" width="9" style="56"/>
  </cols>
  <sheetData>
    <row r="1" spans="1:34" ht="68.25" customHeight="1" x14ac:dyDescent="0.25">
      <c r="A1" s="121" t="s">
        <v>132</v>
      </c>
      <c r="B1" s="122"/>
      <c r="C1" s="122"/>
      <c r="D1" s="122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</row>
    <row r="3" spans="1:34" ht="15.75" thickBot="1" x14ac:dyDescent="0.3">
      <c r="B3" s="59"/>
      <c r="C3" s="59"/>
      <c r="D3" s="59"/>
      <c r="E3" s="60"/>
      <c r="F3" s="59"/>
      <c r="G3" s="61"/>
      <c r="H3" s="61"/>
      <c r="I3" s="61"/>
      <c r="J3" s="61"/>
      <c r="K3" s="61"/>
      <c r="L3" s="61"/>
      <c r="M3" s="61"/>
      <c r="N3" s="61"/>
      <c r="O3" s="61"/>
    </row>
    <row r="4" spans="1:34" ht="15.75" thickTop="1" x14ac:dyDescent="0.25">
      <c r="B4" s="62"/>
      <c r="C4" s="62"/>
      <c r="D4" s="62"/>
      <c r="E4" s="63"/>
      <c r="F4" s="62"/>
      <c r="G4" s="58"/>
      <c r="H4" s="58"/>
      <c r="I4" s="58"/>
      <c r="J4" s="58"/>
      <c r="K4" s="58"/>
      <c r="L4" s="58"/>
    </row>
    <row r="5" spans="1:34" x14ac:dyDescent="0.25">
      <c r="B5" s="125" t="s">
        <v>164</v>
      </c>
      <c r="C5" s="126"/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126"/>
      <c r="O5" s="126"/>
      <c r="R5" s="111"/>
      <c r="S5" s="111"/>
      <c r="T5" s="111"/>
      <c r="U5" s="111"/>
      <c r="V5" s="111"/>
      <c r="W5" s="111"/>
      <c r="X5" s="111"/>
      <c r="Y5" s="111"/>
      <c r="Z5" s="111"/>
      <c r="AA5" s="111"/>
      <c r="AB5" s="111"/>
      <c r="AC5" s="111"/>
      <c r="AD5" s="111"/>
      <c r="AE5" s="111"/>
      <c r="AF5" s="111"/>
      <c r="AG5" s="111"/>
      <c r="AH5" s="111"/>
    </row>
    <row r="6" spans="1:34" ht="14.25" customHeight="1" x14ac:dyDescent="0.25">
      <c r="R6" s="111"/>
      <c r="S6" s="111"/>
      <c r="T6" s="111"/>
      <c r="U6" s="111"/>
      <c r="V6" s="111"/>
      <c r="W6" s="111"/>
      <c r="X6" s="111"/>
      <c r="Y6" s="111"/>
      <c r="Z6" s="111"/>
      <c r="AA6" s="111"/>
      <c r="AB6" s="111"/>
      <c r="AC6" s="111"/>
      <c r="AD6" s="111"/>
      <c r="AE6" s="111"/>
      <c r="AF6" s="111"/>
      <c r="AG6" s="111"/>
      <c r="AH6" s="111"/>
    </row>
    <row r="7" spans="1:34" x14ac:dyDescent="0.25">
      <c r="B7" s="64" t="s">
        <v>70</v>
      </c>
      <c r="C7" s="64"/>
      <c r="E7" s="65"/>
      <c r="F7" s="66"/>
      <c r="I7" s="36" t="s">
        <v>27</v>
      </c>
      <c r="L7" s="67"/>
      <c r="M7" s="68"/>
      <c r="N7" s="68"/>
      <c r="O7" s="67"/>
      <c r="R7" s="111"/>
      <c r="S7" s="111"/>
      <c r="T7" s="111"/>
      <c r="U7" s="111"/>
      <c r="V7" s="111"/>
      <c r="W7" s="111"/>
      <c r="X7" s="111"/>
      <c r="Y7" s="111"/>
      <c r="Z7" s="111"/>
      <c r="AA7" s="111"/>
      <c r="AB7" s="111"/>
      <c r="AC7" s="111"/>
      <c r="AD7" s="111"/>
      <c r="AE7" s="111"/>
      <c r="AF7" s="111"/>
      <c r="AG7" s="111"/>
      <c r="AH7" s="111"/>
    </row>
    <row r="8" spans="1:34" x14ac:dyDescent="0.25">
      <c r="B8" s="69" t="s">
        <v>103</v>
      </c>
      <c r="C8" s="70"/>
      <c r="E8" s="71"/>
      <c r="I8" s="37">
        <v>0.22</v>
      </c>
      <c r="L8" s="67"/>
      <c r="M8" s="68"/>
      <c r="N8" s="68"/>
      <c r="O8" s="67"/>
      <c r="R8" s="111"/>
      <c r="S8" s="111"/>
      <c r="T8" s="111"/>
      <c r="U8" s="111"/>
      <c r="V8" s="111"/>
      <c r="W8" s="111"/>
      <c r="X8" s="111"/>
      <c r="Y8" s="111"/>
      <c r="Z8" s="111"/>
      <c r="AA8" s="111"/>
      <c r="AB8" s="111"/>
      <c r="AC8" s="111"/>
      <c r="AD8" s="111"/>
      <c r="AE8" s="111"/>
      <c r="AF8" s="111"/>
      <c r="AG8" s="111"/>
      <c r="AH8" s="111"/>
    </row>
    <row r="9" spans="1:34" x14ac:dyDescent="0.25">
      <c r="B9" s="72" t="s">
        <v>145</v>
      </c>
      <c r="C9" s="72"/>
      <c r="E9" s="73"/>
      <c r="I9" s="41">
        <v>6</v>
      </c>
      <c r="J9" s="74" t="s">
        <v>131</v>
      </c>
      <c r="L9" s="67"/>
      <c r="M9" s="68"/>
      <c r="N9" s="68"/>
      <c r="O9" s="67"/>
      <c r="R9" s="111"/>
      <c r="S9" s="111"/>
      <c r="T9" s="111"/>
      <c r="U9" s="111"/>
      <c r="V9" s="111"/>
      <c r="W9" s="111"/>
      <c r="X9" s="111"/>
      <c r="Y9" s="111"/>
      <c r="Z9" s="111"/>
      <c r="AA9" s="111"/>
      <c r="AB9" s="111"/>
      <c r="AC9" s="111"/>
      <c r="AD9" s="111"/>
      <c r="AE9" s="111"/>
      <c r="AF9" s="111"/>
      <c r="AG9" s="111"/>
      <c r="AH9" s="111"/>
    </row>
    <row r="10" spans="1:34" x14ac:dyDescent="0.25">
      <c r="B10" s="72" t="s">
        <v>100</v>
      </c>
      <c r="C10" s="72"/>
      <c r="E10" s="75"/>
      <c r="F10" s="66"/>
      <c r="I10" s="38">
        <v>300</v>
      </c>
      <c r="J10" s="74" t="s">
        <v>141</v>
      </c>
      <c r="R10" s="111"/>
      <c r="S10" s="111"/>
      <c r="T10" s="111"/>
      <c r="U10" s="111"/>
      <c r="V10" s="111"/>
      <c r="W10" s="111"/>
      <c r="X10" s="111"/>
      <c r="Y10" s="111"/>
      <c r="Z10" s="111"/>
      <c r="AA10" s="111"/>
      <c r="AB10" s="111"/>
      <c r="AC10" s="111"/>
      <c r="AD10" s="111"/>
      <c r="AE10" s="111"/>
      <c r="AF10" s="111"/>
      <c r="AG10" s="111"/>
      <c r="AH10" s="111"/>
    </row>
    <row r="11" spans="1:34" x14ac:dyDescent="0.25">
      <c r="B11" s="76"/>
      <c r="C11" s="76"/>
      <c r="D11" s="76"/>
      <c r="E11" s="76"/>
      <c r="R11" s="111"/>
      <c r="S11" s="111"/>
      <c r="T11" s="111"/>
      <c r="U11" s="111"/>
      <c r="V11" s="111"/>
      <c r="W11" s="111"/>
      <c r="X11" s="111"/>
      <c r="Y11" s="111"/>
      <c r="Z11" s="111"/>
      <c r="AA11" s="111"/>
      <c r="AB11" s="111"/>
      <c r="AC11" s="111"/>
      <c r="AD11" s="111"/>
      <c r="AE11" s="111"/>
      <c r="AF11" s="111"/>
      <c r="AG11" s="111"/>
      <c r="AH11" s="111"/>
    </row>
    <row r="12" spans="1:34" ht="15.75" x14ac:dyDescent="0.25">
      <c r="B12" s="77" t="s">
        <v>133</v>
      </c>
      <c r="C12" s="78"/>
      <c r="D12" s="79"/>
      <c r="E12" s="79"/>
      <c r="F12" s="79"/>
      <c r="G12" s="79"/>
      <c r="H12" s="80"/>
      <c r="I12" s="81"/>
      <c r="J12" s="82"/>
      <c r="K12" s="80"/>
      <c r="L12" s="80"/>
      <c r="M12" s="80"/>
      <c r="O12" s="58"/>
      <c r="R12" s="111"/>
      <c r="S12" s="111"/>
      <c r="T12" s="111"/>
      <c r="U12" s="111"/>
      <c r="V12" s="111"/>
      <c r="W12" s="111"/>
      <c r="X12" s="111"/>
      <c r="Y12" s="111"/>
      <c r="Z12" s="111"/>
      <c r="AA12" s="111"/>
      <c r="AB12" s="111"/>
      <c r="AC12" s="111"/>
      <c r="AD12" s="111"/>
      <c r="AE12" s="111"/>
      <c r="AF12" s="111"/>
      <c r="AG12" s="111"/>
      <c r="AH12" s="111"/>
    </row>
    <row r="13" spans="1:34" ht="15.75" x14ac:dyDescent="0.25">
      <c r="B13" s="77"/>
      <c r="C13" s="78"/>
      <c r="D13" s="79"/>
      <c r="E13" s="79"/>
      <c r="F13" s="79"/>
      <c r="G13" s="79"/>
      <c r="H13" s="80"/>
      <c r="I13" s="81"/>
      <c r="J13" s="82"/>
      <c r="K13" s="80"/>
      <c r="L13" s="80"/>
      <c r="M13" s="80"/>
      <c r="O13" s="58"/>
      <c r="R13" s="111"/>
      <c r="S13" s="111"/>
      <c r="T13" s="111"/>
      <c r="U13" s="111"/>
      <c r="V13" s="111"/>
      <c r="W13" s="111"/>
      <c r="X13" s="111"/>
      <c r="Y13" s="111"/>
      <c r="Z13" s="111"/>
      <c r="AA13" s="111"/>
      <c r="AB13" s="111"/>
      <c r="AC13" s="111"/>
      <c r="AD13" s="111"/>
      <c r="AE13" s="111"/>
      <c r="AF13" s="111"/>
      <c r="AG13" s="111"/>
      <c r="AH13" s="111"/>
    </row>
    <row r="14" spans="1:34" ht="15.75" x14ac:dyDescent="0.25">
      <c r="B14" s="77" t="s">
        <v>134</v>
      </c>
      <c r="C14" s="78"/>
      <c r="D14" s="79"/>
      <c r="E14" s="79"/>
      <c r="F14" s="79"/>
      <c r="G14" s="79"/>
      <c r="H14" s="80"/>
      <c r="I14" s="42" t="s">
        <v>162</v>
      </c>
      <c r="J14" s="82"/>
      <c r="K14" s="80"/>
      <c r="L14" s="80"/>
      <c r="M14" s="80"/>
      <c r="O14" s="58"/>
      <c r="R14" s="111"/>
      <c r="S14" s="111"/>
      <c r="T14" s="111"/>
      <c r="U14" s="111"/>
      <c r="V14" s="111"/>
      <c r="W14" s="111"/>
      <c r="X14" s="111"/>
      <c r="Y14" s="111"/>
      <c r="Z14" s="111"/>
      <c r="AA14" s="111"/>
      <c r="AB14" s="111"/>
      <c r="AC14" s="111"/>
      <c r="AD14" s="111"/>
      <c r="AE14" s="111"/>
      <c r="AF14" s="111"/>
      <c r="AG14" s="111"/>
      <c r="AH14" s="111"/>
    </row>
    <row r="15" spans="1:34" ht="15.75" x14ac:dyDescent="0.25">
      <c r="B15" s="77" t="s">
        <v>144</v>
      </c>
      <c r="C15" s="78"/>
      <c r="D15" s="79"/>
      <c r="E15" s="79"/>
      <c r="F15" s="79"/>
      <c r="G15" s="79"/>
      <c r="H15" s="80"/>
      <c r="I15" s="81"/>
      <c r="J15" s="82"/>
      <c r="K15" s="80"/>
      <c r="L15" s="80"/>
      <c r="M15" s="80"/>
      <c r="O15" s="58"/>
      <c r="R15" s="111"/>
      <c r="S15" s="111"/>
      <c r="T15" s="111"/>
      <c r="U15" s="111"/>
      <c r="V15" s="111"/>
      <c r="W15" s="111"/>
      <c r="X15" s="111"/>
      <c r="Y15" s="111"/>
      <c r="Z15" s="111"/>
      <c r="AA15" s="111"/>
      <c r="AB15" s="111"/>
      <c r="AC15" s="111"/>
      <c r="AD15" s="111"/>
      <c r="AE15" s="111"/>
      <c r="AF15" s="111"/>
      <c r="AG15" s="111"/>
      <c r="AH15" s="111"/>
    </row>
    <row r="16" spans="1:34" s="83" customFormat="1" ht="15.75" x14ac:dyDescent="0.25">
      <c r="B16" s="56"/>
      <c r="C16" s="56"/>
      <c r="D16" s="56"/>
      <c r="E16" s="57"/>
      <c r="F16" s="56"/>
      <c r="G16" s="56"/>
      <c r="H16" s="56"/>
      <c r="I16" s="56"/>
      <c r="J16" s="56"/>
      <c r="K16" s="56"/>
      <c r="M16" s="80"/>
      <c r="P16" s="80"/>
      <c r="R16" s="140"/>
      <c r="S16" s="140"/>
      <c r="T16" s="140"/>
      <c r="U16" s="140"/>
      <c r="V16" s="140"/>
      <c r="W16" s="140"/>
      <c r="X16" s="140"/>
      <c r="Y16" s="140"/>
      <c r="Z16" s="140"/>
      <c r="AA16" s="140"/>
      <c r="AB16" s="140"/>
      <c r="AC16" s="140"/>
      <c r="AD16" s="140"/>
      <c r="AE16" s="140"/>
      <c r="AF16" s="140"/>
      <c r="AG16" s="140"/>
      <c r="AH16" s="140"/>
    </row>
    <row r="17" spans="2:34" x14ac:dyDescent="0.25">
      <c r="B17" s="64" t="s">
        <v>36</v>
      </c>
      <c r="E17" s="56"/>
      <c r="I17" s="39">
        <v>78</v>
      </c>
      <c r="J17" s="84" t="s">
        <v>142</v>
      </c>
      <c r="N17" s="56"/>
      <c r="R17" s="111"/>
      <c r="S17" s="111"/>
      <c r="T17" s="111"/>
      <c r="U17" s="111"/>
      <c r="V17" s="111"/>
      <c r="W17" s="111"/>
      <c r="X17" s="111"/>
      <c r="Y17" s="111"/>
      <c r="Z17" s="111"/>
      <c r="AA17" s="111"/>
      <c r="AB17" s="111"/>
      <c r="AC17" s="111"/>
      <c r="AD17" s="111"/>
      <c r="AE17" s="111"/>
      <c r="AF17" s="111"/>
      <c r="AG17" s="111"/>
      <c r="AH17" s="111"/>
    </row>
    <row r="18" spans="2:34" x14ac:dyDescent="0.25">
      <c r="B18" s="64" t="s">
        <v>37</v>
      </c>
      <c r="C18" s="85"/>
      <c r="D18" s="86"/>
      <c r="E18" s="86"/>
      <c r="F18" s="86"/>
      <c r="G18" s="86"/>
      <c r="I18" s="39">
        <v>49</v>
      </c>
      <c r="J18" s="84" t="s">
        <v>142</v>
      </c>
      <c r="N18" s="56"/>
      <c r="R18" s="111"/>
      <c r="S18" s="111"/>
      <c r="T18" s="111"/>
      <c r="U18" s="111"/>
      <c r="V18" s="111"/>
      <c r="W18" s="111"/>
      <c r="X18" s="111"/>
      <c r="Y18" s="111"/>
      <c r="Z18" s="111"/>
      <c r="AA18" s="111"/>
      <c r="AB18" s="111"/>
      <c r="AC18" s="111"/>
      <c r="AD18" s="111"/>
      <c r="AE18" s="111"/>
      <c r="AF18" s="111"/>
      <c r="AG18" s="111"/>
      <c r="AH18" s="111"/>
    </row>
    <row r="19" spans="2:34" ht="15.75" x14ac:dyDescent="0.25">
      <c r="B19" s="64" t="s">
        <v>75</v>
      </c>
      <c r="C19" s="83"/>
      <c r="D19" s="83"/>
      <c r="E19" s="83"/>
      <c r="F19" s="83"/>
      <c r="G19" s="83"/>
      <c r="H19" s="83"/>
      <c r="I19" s="39">
        <v>23</v>
      </c>
      <c r="J19" s="84" t="s">
        <v>142</v>
      </c>
      <c r="K19" s="83"/>
      <c r="N19" s="56"/>
      <c r="R19" s="111"/>
      <c r="S19" s="111"/>
      <c r="T19" s="111"/>
      <c r="U19" s="111"/>
      <c r="V19" s="111"/>
      <c r="W19" s="111"/>
      <c r="X19" s="111"/>
      <c r="Y19" s="111"/>
      <c r="Z19" s="111"/>
      <c r="AA19" s="111"/>
      <c r="AB19" s="111"/>
      <c r="AC19" s="111"/>
      <c r="AD19" s="111"/>
      <c r="AE19" s="111"/>
      <c r="AF19" s="111"/>
      <c r="AG19" s="111"/>
      <c r="AH19" s="111"/>
    </row>
    <row r="20" spans="2:34" ht="14.45" customHeight="1" x14ac:dyDescent="0.25">
      <c r="B20" s="64" t="s">
        <v>39</v>
      </c>
      <c r="E20" s="87"/>
      <c r="I20" s="39">
        <v>43</v>
      </c>
      <c r="J20" s="84" t="s">
        <v>142</v>
      </c>
      <c r="R20" s="111"/>
      <c r="S20" s="111"/>
      <c r="T20" s="111"/>
      <c r="U20" s="111"/>
      <c r="V20" s="111"/>
      <c r="W20" s="111"/>
      <c r="X20" s="111"/>
      <c r="Y20" s="111"/>
      <c r="Z20" s="111"/>
      <c r="AA20" s="111"/>
      <c r="AB20" s="111"/>
      <c r="AC20" s="111"/>
      <c r="AD20" s="111"/>
      <c r="AE20" s="111"/>
      <c r="AF20" s="111"/>
      <c r="AG20" s="111"/>
      <c r="AH20" s="111"/>
    </row>
    <row r="21" spans="2:34" x14ac:dyDescent="0.25">
      <c r="B21" s="88" t="s">
        <v>69</v>
      </c>
      <c r="C21" s="64"/>
      <c r="E21" s="89"/>
      <c r="I21" s="109">
        <f>SUM(I17:I20)</f>
        <v>193</v>
      </c>
      <c r="J21" s="90" t="s">
        <v>142</v>
      </c>
      <c r="R21" s="111"/>
      <c r="S21" s="111"/>
      <c r="T21" s="111"/>
      <c r="U21" s="111"/>
      <c r="V21" s="111"/>
      <c r="W21" s="111"/>
      <c r="X21" s="111"/>
      <c r="Y21" s="111"/>
      <c r="Z21" s="111"/>
      <c r="AA21" s="111"/>
      <c r="AB21" s="111"/>
      <c r="AC21" s="111"/>
      <c r="AD21" s="111"/>
      <c r="AE21" s="111"/>
      <c r="AF21" s="111"/>
      <c r="AG21" s="111"/>
      <c r="AH21" s="111"/>
    </row>
    <row r="22" spans="2:34" ht="15.75" thickBot="1" x14ac:dyDescent="0.3">
      <c r="B22" s="61"/>
      <c r="C22" s="91"/>
      <c r="D22" s="61"/>
      <c r="E22" s="92"/>
      <c r="F22" s="61"/>
      <c r="G22" s="61"/>
      <c r="H22" s="61"/>
      <c r="I22" s="93"/>
      <c r="J22" s="94"/>
      <c r="K22" s="61"/>
      <c r="L22" s="61"/>
      <c r="M22" s="61"/>
      <c r="N22" s="61"/>
      <c r="O22" s="61"/>
      <c r="R22" s="111"/>
      <c r="S22" s="111"/>
      <c r="T22" s="111"/>
      <c r="U22" s="111"/>
      <c r="V22" s="111"/>
      <c r="W22" s="111"/>
      <c r="X22" s="111"/>
      <c r="Y22" s="111"/>
      <c r="Z22" s="111"/>
      <c r="AA22" s="111"/>
      <c r="AB22" s="111"/>
      <c r="AC22" s="111"/>
      <c r="AD22" s="111"/>
      <c r="AE22" s="111"/>
      <c r="AF22" s="111"/>
      <c r="AG22" s="111"/>
      <c r="AH22" s="111"/>
    </row>
    <row r="23" spans="2:34" ht="15.75" thickTop="1" x14ac:dyDescent="0.25">
      <c r="B23" s="58"/>
      <c r="C23" s="95"/>
      <c r="D23" s="58"/>
      <c r="E23" s="89"/>
      <c r="F23" s="58"/>
      <c r="G23" s="58"/>
      <c r="H23" s="58"/>
      <c r="I23" s="76"/>
      <c r="J23" s="73"/>
      <c r="K23" s="58"/>
      <c r="L23" s="96"/>
      <c r="M23" s="96"/>
      <c r="N23" s="96"/>
      <c r="O23" s="97"/>
      <c r="P23" s="96"/>
      <c r="R23" s="111"/>
      <c r="S23" s="111"/>
      <c r="T23" s="111"/>
      <c r="U23" s="111"/>
      <c r="V23" s="111"/>
      <c r="W23" s="111"/>
      <c r="X23" s="111"/>
      <c r="Y23" s="111"/>
      <c r="Z23" s="111"/>
      <c r="AA23" s="111"/>
      <c r="AB23" s="111"/>
      <c r="AC23" s="111"/>
      <c r="AD23" s="111"/>
      <c r="AE23" s="111"/>
      <c r="AF23" s="111"/>
      <c r="AG23" s="111"/>
      <c r="AH23" s="111"/>
    </row>
    <row r="24" spans="2:34" x14ac:dyDescent="0.25">
      <c r="B24" s="125" t="s">
        <v>163</v>
      </c>
      <c r="C24" s="126"/>
      <c r="D24" s="126"/>
      <c r="E24" s="126"/>
      <c r="F24" s="126"/>
      <c r="G24" s="126"/>
      <c r="H24" s="126"/>
      <c r="I24" s="126"/>
      <c r="J24" s="126"/>
      <c r="K24" s="126"/>
      <c r="L24" s="126"/>
      <c r="M24" s="126"/>
      <c r="N24" s="126"/>
      <c r="O24" s="126"/>
      <c r="P24" s="96"/>
      <c r="R24" s="111"/>
      <c r="S24" s="111"/>
      <c r="T24" s="111"/>
      <c r="U24" s="111"/>
      <c r="V24" s="111"/>
      <c r="W24" s="111"/>
      <c r="X24" s="111"/>
      <c r="Y24" s="111"/>
      <c r="Z24" s="111"/>
      <c r="AA24" s="111"/>
      <c r="AB24" s="111"/>
      <c r="AC24" s="111"/>
      <c r="AD24" s="111"/>
      <c r="AE24" s="111"/>
      <c r="AF24" s="111"/>
      <c r="AG24" s="111"/>
      <c r="AH24" s="111"/>
    </row>
    <row r="25" spans="2:34" x14ac:dyDescent="0.25">
      <c r="C25" s="64"/>
      <c r="E25" s="89"/>
      <c r="H25" s="86"/>
      <c r="L25" s="97"/>
      <c r="M25" s="96"/>
      <c r="N25" s="96"/>
      <c r="O25" s="97"/>
      <c r="P25" s="96"/>
      <c r="R25" s="111"/>
      <c r="S25" s="111"/>
      <c r="T25" s="111"/>
      <c r="U25" s="111"/>
      <c r="V25" s="111"/>
      <c r="W25" s="111"/>
      <c r="X25" s="111"/>
      <c r="Y25" s="111"/>
      <c r="Z25" s="111"/>
      <c r="AA25" s="111"/>
      <c r="AB25" s="111"/>
      <c r="AC25" s="111"/>
      <c r="AD25" s="111"/>
      <c r="AE25" s="111"/>
      <c r="AF25" s="111"/>
      <c r="AG25" s="111"/>
      <c r="AH25" s="111"/>
    </row>
    <row r="26" spans="2:34" x14ac:dyDescent="0.25">
      <c r="B26" s="88" t="s">
        <v>72</v>
      </c>
      <c r="C26" s="88"/>
      <c r="E26" s="98"/>
      <c r="R26" s="111"/>
      <c r="S26" s="111"/>
      <c r="T26" s="111"/>
      <c r="U26" s="111"/>
      <c r="V26" s="111"/>
      <c r="W26" s="111"/>
      <c r="X26" s="111"/>
      <c r="Y26" s="111"/>
      <c r="Z26" s="111"/>
      <c r="AA26" s="111"/>
      <c r="AB26" s="111"/>
      <c r="AC26" s="111"/>
      <c r="AD26" s="111"/>
      <c r="AE26" s="111"/>
      <c r="AF26" s="111"/>
      <c r="AG26" s="111"/>
      <c r="AH26" s="111"/>
    </row>
    <row r="27" spans="2:34" ht="15.75" x14ac:dyDescent="0.25">
      <c r="B27" s="64" t="s">
        <v>105</v>
      </c>
      <c r="C27" s="64"/>
      <c r="D27" s="64"/>
      <c r="E27" s="99"/>
      <c r="I27" s="100">
        <f>IF($I$14="NO",'Calculations-Hide'!J31,'Calculations-Hide'!J33)</f>
        <v>342.24203232424071</v>
      </c>
      <c r="J27" s="84" t="s">
        <v>142</v>
      </c>
      <c r="K27" s="83"/>
      <c r="R27" s="111"/>
      <c r="S27" s="111"/>
      <c r="T27" s="111"/>
      <c r="U27" s="111"/>
      <c r="V27" s="111"/>
      <c r="W27" s="111"/>
      <c r="X27" s="111"/>
      <c r="Y27" s="111"/>
      <c r="Z27" s="111"/>
      <c r="AA27" s="111"/>
      <c r="AB27" s="111"/>
      <c r="AC27" s="111"/>
      <c r="AD27" s="111"/>
      <c r="AE27" s="111"/>
      <c r="AF27" s="111"/>
      <c r="AG27" s="111"/>
      <c r="AH27" s="111"/>
    </row>
    <row r="28" spans="2:34" x14ac:dyDescent="0.25">
      <c r="B28" s="64" t="s">
        <v>97</v>
      </c>
      <c r="E28" s="101"/>
      <c r="I28" s="100">
        <f>IF($I$14="NO",'Calculations-Hide'!J32,'Calculations-Hide'!J34)</f>
        <v>923.77204191099133</v>
      </c>
      <c r="J28" s="84" t="s">
        <v>142</v>
      </c>
      <c r="R28" s="111"/>
      <c r="S28" s="112"/>
      <c r="T28" s="112"/>
      <c r="U28" s="112"/>
      <c r="V28" s="112"/>
      <c r="W28" s="112"/>
      <c r="X28" s="112"/>
      <c r="Y28" s="112"/>
      <c r="Z28" s="111"/>
      <c r="AA28" s="111"/>
      <c r="AB28" s="111"/>
      <c r="AC28" s="111"/>
      <c r="AD28" s="111"/>
      <c r="AE28" s="111"/>
      <c r="AF28" s="111"/>
      <c r="AG28" s="111"/>
      <c r="AH28" s="111"/>
    </row>
    <row r="29" spans="2:34" x14ac:dyDescent="0.25">
      <c r="I29" s="102"/>
      <c r="R29" s="111"/>
      <c r="S29" s="112"/>
      <c r="Y29" s="112"/>
      <c r="Z29" s="111"/>
      <c r="AA29" s="111"/>
      <c r="AB29" s="111"/>
      <c r="AC29" s="111"/>
      <c r="AD29" s="111"/>
      <c r="AE29" s="111"/>
      <c r="AF29" s="111"/>
      <c r="AG29" s="111"/>
      <c r="AH29" s="111"/>
    </row>
    <row r="30" spans="2:34" x14ac:dyDescent="0.25">
      <c r="B30" s="88" t="s">
        <v>99</v>
      </c>
      <c r="I30" s="103" t="s">
        <v>143</v>
      </c>
      <c r="K30" s="104" t="s">
        <v>102</v>
      </c>
      <c r="R30" s="111"/>
      <c r="S30" s="112"/>
      <c r="Y30" s="112"/>
      <c r="Z30" s="111"/>
      <c r="AA30" s="111"/>
      <c r="AB30" s="111"/>
      <c r="AC30" s="111"/>
      <c r="AD30" s="111"/>
      <c r="AE30" s="111"/>
      <c r="AF30" s="111"/>
      <c r="AG30" s="111"/>
      <c r="AH30" s="111"/>
    </row>
    <row r="31" spans="2:34" x14ac:dyDescent="0.25">
      <c r="B31" s="64" t="s">
        <v>105</v>
      </c>
      <c r="H31" s="86"/>
      <c r="I31" s="105">
        <f>IF($I$14="NO",'Calculations-Hide'!L31,'Calculations-Hide'!K37)</f>
        <v>13.235879703147431</v>
      </c>
      <c r="K31" s="105">
        <f>IF($I$14="NO",'Calculations-Hide'!M31,'Calculations-Hide'!K38)</f>
        <v>3.9392499116510211</v>
      </c>
      <c r="R31" s="111"/>
      <c r="S31" s="112"/>
      <c r="Y31" s="112"/>
      <c r="Z31" s="111"/>
      <c r="AA31" s="111"/>
      <c r="AB31" s="111"/>
      <c r="AC31" s="111"/>
      <c r="AD31" s="111"/>
      <c r="AE31" s="111"/>
      <c r="AF31" s="111"/>
      <c r="AG31" s="111"/>
      <c r="AH31" s="111"/>
    </row>
    <row r="32" spans="2:34" x14ac:dyDescent="0.25">
      <c r="B32" s="64" t="s">
        <v>97</v>
      </c>
      <c r="I32" s="105">
        <f>IF($I$14="NO",'Calculations-Hide'!L32,'Calculations-Hide'!L34)</f>
        <v>17.71617614623819</v>
      </c>
      <c r="K32" s="105">
        <f>IF($I$14="NO",'Calculations-Hide'!M32,'Calculations-Hide'!M34)</f>
        <v>4.6377424466592121</v>
      </c>
      <c r="L32" s="97"/>
      <c r="M32" s="96"/>
      <c r="N32" s="96"/>
      <c r="O32" s="97"/>
      <c r="P32" s="96"/>
      <c r="S32" s="112"/>
      <c r="Y32" s="111"/>
      <c r="Z32" s="111"/>
      <c r="AA32" s="111"/>
      <c r="AB32" s="111"/>
      <c r="AC32" s="111"/>
      <c r="AD32" s="111"/>
      <c r="AE32" s="111"/>
      <c r="AF32" s="111"/>
      <c r="AG32" s="111"/>
      <c r="AH32" s="111"/>
    </row>
    <row r="33" spans="1:34" x14ac:dyDescent="0.25">
      <c r="E33" s="111"/>
      <c r="F33" s="112"/>
      <c r="G33" s="113"/>
      <c r="H33" s="111"/>
      <c r="I33" s="111"/>
      <c r="J33" s="111"/>
      <c r="K33" s="111"/>
      <c r="L33" s="111"/>
      <c r="M33" s="112"/>
      <c r="N33" s="112"/>
      <c r="O33" s="111"/>
      <c r="P33" s="112"/>
      <c r="R33" s="111"/>
      <c r="S33" s="112"/>
      <c r="Y33" s="113"/>
      <c r="Z33" s="111"/>
      <c r="AA33" s="111"/>
      <c r="AB33" s="111"/>
      <c r="AC33" s="111"/>
      <c r="AD33" s="111"/>
      <c r="AE33" s="111"/>
      <c r="AF33" s="111"/>
      <c r="AG33" s="111"/>
      <c r="AH33" s="111"/>
    </row>
    <row r="34" spans="1:34" ht="15" customHeight="1" x14ac:dyDescent="0.25">
      <c r="A34" s="106"/>
      <c r="B34" s="107"/>
      <c r="C34" s="106"/>
      <c r="D34" s="106"/>
      <c r="E34" s="112"/>
      <c r="F34" s="112"/>
      <c r="G34" s="108"/>
      <c r="M34" s="56"/>
      <c r="N34" s="56"/>
      <c r="O34" s="117"/>
      <c r="P34" s="112"/>
      <c r="R34" s="111"/>
      <c r="S34" s="112"/>
      <c r="Y34" s="113"/>
      <c r="Z34" s="111"/>
      <c r="AA34" s="111"/>
      <c r="AB34" s="111"/>
      <c r="AC34" s="111"/>
      <c r="AD34" s="111"/>
      <c r="AE34" s="111"/>
      <c r="AF34" s="111"/>
      <c r="AG34" s="111"/>
      <c r="AH34" s="111"/>
    </row>
    <row r="35" spans="1:34" x14ac:dyDescent="0.25">
      <c r="A35" s="106"/>
      <c r="B35" s="106"/>
      <c r="C35" s="106"/>
      <c r="D35" s="106"/>
      <c r="E35" s="114"/>
      <c r="F35" s="112"/>
      <c r="G35" s="110"/>
      <c r="M35" s="56"/>
      <c r="N35" s="56"/>
      <c r="P35" s="112"/>
      <c r="R35" s="111"/>
      <c r="S35" s="111"/>
      <c r="T35" s="111"/>
      <c r="U35" s="111"/>
      <c r="V35" s="111"/>
      <c r="W35" s="111"/>
      <c r="X35" s="111"/>
      <c r="Y35" s="111"/>
      <c r="Z35" s="111"/>
      <c r="AA35" s="111"/>
      <c r="AB35" s="111"/>
      <c r="AC35" s="111"/>
      <c r="AD35" s="111"/>
      <c r="AE35" s="111"/>
      <c r="AF35" s="111"/>
      <c r="AG35" s="111"/>
      <c r="AH35" s="111"/>
    </row>
    <row r="36" spans="1:34" x14ac:dyDescent="0.25">
      <c r="A36" s="106"/>
      <c r="B36" s="106"/>
      <c r="C36" s="106"/>
      <c r="D36" s="106"/>
      <c r="E36" s="114"/>
      <c r="F36" s="112"/>
      <c r="G36" s="110"/>
      <c r="M36" s="56"/>
      <c r="N36" s="56"/>
      <c r="O36" s="117"/>
      <c r="P36" s="112"/>
      <c r="R36" s="111"/>
      <c r="S36" s="111"/>
      <c r="T36" s="111"/>
      <c r="U36" s="111"/>
      <c r="V36" s="111"/>
      <c r="W36" s="111"/>
      <c r="X36" s="111"/>
      <c r="Y36" s="111"/>
      <c r="Z36" s="111"/>
      <c r="AA36" s="111"/>
      <c r="AB36" s="111"/>
      <c r="AC36" s="111"/>
      <c r="AD36" s="111"/>
      <c r="AE36" s="111"/>
      <c r="AF36" s="111"/>
      <c r="AG36" s="111"/>
      <c r="AH36" s="111"/>
    </row>
    <row r="37" spans="1:34" x14ac:dyDescent="0.25">
      <c r="A37" s="137"/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  <c r="M37" s="137"/>
      <c r="N37" s="137"/>
      <c r="O37" s="137"/>
      <c r="P37" s="44"/>
      <c r="Q37" s="138"/>
      <c r="R37" s="111"/>
      <c r="S37" s="111"/>
      <c r="T37" s="111"/>
      <c r="U37" s="111"/>
      <c r="V37" s="111"/>
      <c r="W37" s="111"/>
      <c r="X37" s="111"/>
      <c r="Y37" s="111"/>
      <c r="Z37" s="111"/>
      <c r="AA37" s="111"/>
      <c r="AB37" s="111"/>
      <c r="AC37" s="111"/>
      <c r="AD37" s="111"/>
      <c r="AE37" s="111"/>
      <c r="AF37" s="111"/>
      <c r="AG37" s="111"/>
      <c r="AH37" s="111"/>
    </row>
    <row r="38" spans="1:34" x14ac:dyDescent="0.25">
      <c r="A38" s="137"/>
      <c r="B38" s="137"/>
      <c r="C38" s="137"/>
      <c r="D38" s="137"/>
      <c r="E38" s="137"/>
      <c r="F38" s="137"/>
      <c r="G38" s="137"/>
      <c r="H38" s="137"/>
      <c r="I38" s="137"/>
      <c r="J38" s="137"/>
      <c r="K38" s="137"/>
      <c r="L38" s="137"/>
      <c r="M38" s="137"/>
      <c r="N38" s="137"/>
      <c r="O38" s="137"/>
      <c r="P38" s="44"/>
      <c r="Q38" s="138"/>
      <c r="R38" s="111"/>
      <c r="S38" s="111"/>
      <c r="T38" s="111"/>
      <c r="U38" s="111"/>
      <c r="V38" s="111"/>
      <c r="W38" s="111"/>
      <c r="X38" s="111"/>
      <c r="Y38" s="111"/>
      <c r="Z38" s="111"/>
      <c r="AA38" s="111"/>
      <c r="AB38" s="111"/>
      <c r="AC38" s="111"/>
      <c r="AD38" s="111"/>
      <c r="AE38" s="111"/>
      <c r="AF38" s="111"/>
      <c r="AG38" s="111"/>
      <c r="AH38" s="111"/>
    </row>
    <row r="39" spans="1:34" x14ac:dyDescent="0.25">
      <c r="A39" s="137"/>
      <c r="B39" s="137"/>
      <c r="C39" s="137"/>
      <c r="D39" s="137"/>
      <c r="E39" s="137"/>
      <c r="F39" s="137"/>
      <c r="G39" s="137"/>
      <c r="H39" s="137"/>
      <c r="I39" s="137"/>
      <c r="J39" s="137"/>
      <c r="K39" s="137"/>
      <c r="L39" s="137"/>
      <c r="M39" s="137"/>
      <c r="N39" s="137"/>
      <c r="O39" s="137"/>
      <c r="P39" s="44"/>
      <c r="Q39" s="138"/>
      <c r="R39" s="111"/>
      <c r="S39" s="111"/>
      <c r="T39" s="111"/>
      <c r="U39" s="111"/>
      <c r="V39" s="111"/>
      <c r="W39" s="111"/>
      <c r="X39" s="111"/>
      <c r="Y39" s="111"/>
      <c r="Z39" s="111"/>
      <c r="AA39" s="111"/>
      <c r="AB39" s="111"/>
      <c r="AC39" s="111"/>
      <c r="AD39" s="111"/>
      <c r="AE39" s="111"/>
      <c r="AF39" s="111"/>
      <c r="AG39" s="111"/>
      <c r="AH39" s="111"/>
    </row>
    <row r="40" spans="1:34" x14ac:dyDescent="0.25">
      <c r="A40" s="137"/>
      <c r="B40" s="137"/>
      <c r="C40" s="137"/>
      <c r="D40" s="137"/>
      <c r="E40" s="137"/>
      <c r="F40" s="137"/>
      <c r="G40" s="137"/>
      <c r="H40" s="137"/>
      <c r="I40" s="137"/>
      <c r="J40" s="137"/>
      <c r="K40" s="137"/>
      <c r="L40" s="137"/>
      <c r="M40" s="137"/>
      <c r="N40" s="137"/>
      <c r="O40" s="137"/>
      <c r="P40" s="44"/>
      <c r="Q40" s="138"/>
      <c r="R40" s="111"/>
      <c r="S40" s="111"/>
      <c r="T40" s="111"/>
      <c r="U40" s="111"/>
      <c r="V40" s="111"/>
      <c r="W40" s="111"/>
      <c r="X40" s="111"/>
      <c r="Y40" s="111"/>
      <c r="Z40" s="111"/>
      <c r="AA40" s="111"/>
      <c r="AB40" s="111"/>
      <c r="AC40" s="111"/>
      <c r="AD40" s="111"/>
      <c r="AE40" s="111"/>
      <c r="AF40" s="111"/>
      <c r="AG40" s="111"/>
      <c r="AH40" s="111"/>
    </row>
    <row r="41" spans="1:34" x14ac:dyDescent="0.25">
      <c r="E41" s="115"/>
      <c r="F41" s="111"/>
      <c r="G41" s="111"/>
      <c r="H41" s="111"/>
      <c r="I41" s="111"/>
      <c r="J41" s="111"/>
      <c r="K41" s="111"/>
      <c r="L41" s="111"/>
      <c r="M41" s="112"/>
      <c r="N41" s="112"/>
      <c r="O41" s="111"/>
      <c r="P41" s="139"/>
      <c r="Q41" s="44"/>
      <c r="R41" s="111"/>
      <c r="S41" s="111"/>
      <c r="T41" s="111"/>
      <c r="U41" s="111"/>
      <c r="V41" s="111"/>
      <c r="W41" s="111"/>
      <c r="X41" s="111"/>
      <c r="Y41" s="111"/>
      <c r="Z41" s="111"/>
      <c r="AA41" s="111"/>
      <c r="AB41" s="111"/>
      <c r="AC41" s="111"/>
      <c r="AD41" s="111"/>
      <c r="AE41" s="111"/>
      <c r="AF41" s="111"/>
      <c r="AG41" s="111"/>
      <c r="AH41" s="111"/>
    </row>
    <row r="42" spans="1:34" x14ac:dyDescent="0.25">
      <c r="E42" s="56"/>
      <c r="M42" s="56"/>
      <c r="N42" s="56"/>
      <c r="P42" s="56"/>
      <c r="Q42" s="44"/>
      <c r="R42" s="111"/>
      <c r="S42" s="111"/>
      <c r="T42" s="111"/>
      <c r="U42" s="111"/>
      <c r="V42" s="111"/>
      <c r="W42" s="111"/>
      <c r="X42" s="111"/>
      <c r="Y42" s="111"/>
      <c r="Z42" s="111"/>
      <c r="AA42" s="111"/>
      <c r="AB42" s="111"/>
      <c r="AC42" s="111"/>
      <c r="AD42" s="111"/>
      <c r="AE42" s="111"/>
      <c r="AF42" s="111"/>
      <c r="AG42" s="111"/>
      <c r="AH42" s="111"/>
    </row>
    <row r="43" spans="1:34" x14ac:dyDescent="0.25">
      <c r="E43" s="56"/>
      <c r="M43" s="56"/>
      <c r="N43" s="56"/>
      <c r="P43" s="56"/>
      <c r="Q43" s="44"/>
    </row>
    <row r="44" spans="1:34" x14ac:dyDescent="0.25">
      <c r="E44" s="56"/>
      <c r="M44" s="56"/>
      <c r="N44" s="56"/>
      <c r="P44" s="56"/>
      <c r="Q44" s="44"/>
    </row>
    <row r="45" spans="1:34" x14ac:dyDescent="0.25">
      <c r="E45" s="56"/>
      <c r="M45" s="56"/>
      <c r="N45" s="56"/>
      <c r="P45" s="56"/>
    </row>
    <row r="46" spans="1:34" x14ac:dyDescent="0.25">
      <c r="E46" s="115"/>
      <c r="F46" s="111"/>
      <c r="G46" s="111"/>
      <c r="H46" s="111"/>
      <c r="I46" s="111"/>
      <c r="J46" s="111"/>
      <c r="K46" s="111"/>
      <c r="L46" s="111"/>
      <c r="M46" s="112"/>
      <c r="N46" s="112"/>
      <c r="O46" s="111"/>
      <c r="P46" s="112"/>
    </row>
  </sheetData>
  <sheetProtection algorithmName="SHA-512" hashValue="S1N3jLQ++c8t6TElNqVgleG6dPjqqHwWvA2rTJxTJVB9woT+8eZ2VsEzqROZPA7iYSmM000wi9fHXI/RJwVjCg==" saltValue="RGv5W19UTDURamUyo+SjdQ==" spinCount="100000" sheet="1" selectLockedCells="1"/>
  <conditionalFormatting sqref="I17:I21">
    <cfRule type="expression" dxfId="0" priority="1">
      <formula>$I$14="NO"</formula>
    </cfRule>
  </conditionalFormatting>
  <dataValidations count="7">
    <dataValidation type="decimal" allowBlank="1" showInputMessage="1" showErrorMessage="1" error="Please enter a valid number between 2 and 10" sqref="I9">
      <formula1>2</formula1>
      <formula2>10</formula2>
    </dataValidation>
    <dataValidation type="list" allowBlank="1" showInputMessage="1" showErrorMessage="1" errorTitle="Invalid" error="Please select an item from the list" sqref="E10 I10">
      <formula1>MilkSolids</formula1>
    </dataValidation>
    <dataValidation type="list" allowBlank="1" showInputMessage="1" showErrorMessage="1" errorTitle="Invalid" error="Please select an item from the list" sqref="E7 I7">
      <formula1>Cows</formula1>
    </dataValidation>
    <dataValidation type="decimal" allowBlank="1" showInputMessage="1" showErrorMessage="1" errorTitle="Invalid" error="Please enter a number between 5% and 50%" sqref="E8 I8">
      <formula1>0.05</formula1>
      <formula2>0.5</formula2>
    </dataValidation>
    <dataValidation type="decimal" allowBlank="1" showInputMessage="1" showErrorMessage="1" errorTitle="Invalid" error="Please enter a value between $20 and $200" sqref="E21 I17">
      <formula1>20</formula1>
      <formula2>200</formula2>
    </dataValidation>
    <dataValidation type="decimal" allowBlank="1" showInputMessage="1" showErrorMessage="1" errorTitle="Invalid" error="Please enter a value between 1 and 100" sqref="I18:I20 E22:E23 E25">
      <formula1>1</formula1>
      <formula2>100</formula2>
    </dataValidation>
    <dataValidation type="list" allowBlank="1" showInputMessage="1" showErrorMessage="1" errorTitle="Invalid" error="Please enter either YES or NO" sqref="I14">
      <formula1>"YES, NO"</formula1>
    </dataValidation>
  </dataValidation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76"/>
  <sheetViews>
    <sheetView zoomScale="85" zoomScaleNormal="85" workbookViewId="0">
      <selection activeCell="N42" sqref="N42"/>
    </sheetView>
  </sheetViews>
  <sheetFormatPr defaultRowHeight="15" x14ac:dyDescent="0.25"/>
  <cols>
    <col min="1" max="5" width="12.42578125" customWidth="1"/>
    <col min="6" max="6" width="12.42578125" style="5" customWidth="1"/>
    <col min="7" max="7" width="12.42578125" style="10" customWidth="1"/>
    <col min="8" max="8" width="12.42578125" style="5" customWidth="1"/>
    <col min="9" max="9" width="18" style="5" customWidth="1"/>
    <col min="10" max="10" width="28.85546875" customWidth="1"/>
    <col min="11" max="16" width="12.42578125" customWidth="1"/>
    <col min="17" max="17" width="9" style="10"/>
    <col min="19" max="19" width="42.140625" bestFit="1" customWidth="1"/>
    <col min="24" max="24" width="9.42578125" bestFit="1" customWidth="1"/>
    <col min="25" max="25" width="42.140625" bestFit="1" customWidth="1"/>
    <col min="31" max="31" width="42.140625" bestFit="1" customWidth="1"/>
    <col min="37" max="37" width="42.140625" bestFit="1" customWidth="1"/>
  </cols>
  <sheetData>
    <row r="1" spans="1:41" x14ac:dyDescent="0.25">
      <c r="A1" s="1" t="s">
        <v>0</v>
      </c>
      <c r="S1" s="17" t="s">
        <v>1</v>
      </c>
      <c r="T1" s="17" t="s">
        <v>2</v>
      </c>
      <c r="U1" s="17"/>
      <c r="V1" s="17">
        <f>SUM(U18:U21)</f>
        <v>202.92733564013841</v>
      </c>
      <c r="W1" s="17"/>
      <c r="X1" s="17"/>
      <c r="Y1" s="17" t="s">
        <v>3</v>
      </c>
      <c r="Z1" s="17" t="s">
        <v>2</v>
      </c>
      <c r="AA1" s="17"/>
      <c r="AB1" s="17">
        <f>SUM(AA18:AA21)</f>
        <v>226.83554376657824</v>
      </c>
      <c r="AC1" s="17"/>
      <c r="AD1" s="17"/>
      <c r="AE1" s="17" t="s">
        <v>4</v>
      </c>
      <c r="AF1" s="17" t="s">
        <v>2</v>
      </c>
      <c r="AG1" s="17"/>
      <c r="AH1" s="17">
        <f>SUM(AG18:AG21)</f>
        <v>207.33531157270031</v>
      </c>
      <c r="AI1" s="17"/>
      <c r="AJ1" s="17"/>
      <c r="AK1" s="17" t="s">
        <v>5</v>
      </c>
      <c r="AL1" s="17" t="s">
        <v>2</v>
      </c>
      <c r="AM1" s="17"/>
      <c r="AN1" s="17">
        <f>SUM(AM18:AM21)</f>
        <v>203.8011049723757</v>
      </c>
      <c r="AO1" s="17"/>
    </row>
    <row r="2" spans="1:41" ht="15" customHeight="1" x14ac:dyDescent="0.25">
      <c r="I2" s="9"/>
      <c r="K2" s="146" t="s">
        <v>114</v>
      </c>
      <c r="L2" s="147"/>
      <c r="M2" s="148"/>
      <c r="N2" s="146" t="s">
        <v>115</v>
      </c>
      <c r="O2" s="147"/>
      <c r="P2" s="148"/>
      <c r="S2" s="17"/>
      <c r="T2" s="17"/>
      <c r="U2" s="17"/>
      <c r="V2" s="17"/>
      <c r="W2" s="17"/>
      <c r="X2" s="17"/>
      <c r="Y2" s="17"/>
      <c r="Z2" s="17"/>
      <c r="AA2" s="17"/>
      <c r="AB2" s="17"/>
      <c r="AC2" s="17"/>
      <c r="AD2" s="17"/>
      <c r="AE2" s="17"/>
      <c r="AF2" s="17"/>
      <c r="AG2" s="17"/>
      <c r="AH2" s="17"/>
      <c r="AI2" s="17"/>
      <c r="AJ2" s="17"/>
      <c r="AK2" s="17"/>
      <c r="AL2" s="17"/>
      <c r="AM2" s="17"/>
      <c r="AN2" s="17"/>
      <c r="AO2" s="17"/>
    </row>
    <row r="3" spans="1:41" x14ac:dyDescent="0.25">
      <c r="A3" s="1" t="s">
        <v>106</v>
      </c>
      <c r="C3" s="6">
        <f>Calculator!I8</f>
        <v>0.22</v>
      </c>
      <c r="S3" s="17" t="s">
        <v>6</v>
      </c>
      <c r="T3" s="17"/>
      <c r="U3" s="17"/>
      <c r="V3" s="17"/>
      <c r="W3" s="17"/>
      <c r="X3" s="17"/>
      <c r="Y3" s="17" t="s">
        <v>6</v>
      </c>
      <c r="Z3" s="17"/>
      <c r="AA3" s="17"/>
      <c r="AB3" s="17"/>
      <c r="AC3" s="17"/>
      <c r="AD3" s="17"/>
      <c r="AE3" s="17" t="s">
        <v>6</v>
      </c>
      <c r="AF3" s="17"/>
      <c r="AG3" s="17"/>
      <c r="AH3" s="17"/>
      <c r="AI3" s="17"/>
      <c r="AJ3" s="17"/>
      <c r="AK3" s="17" t="s">
        <v>6</v>
      </c>
      <c r="AL3" s="17"/>
      <c r="AM3" s="17"/>
      <c r="AN3" s="17"/>
      <c r="AO3" s="17"/>
    </row>
    <row r="4" spans="1:41" x14ac:dyDescent="0.25">
      <c r="J4" s="34" t="s">
        <v>107</v>
      </c>
      <c r="K4" s="21" t="s">
        <v>27</v>
      </c>
      <c r="L4" s="21" t="s">
        <v>28</v>
      </c>
      <c r="M4" s="21" t="s">
        <v>29</v>
      </c>
      <c r="N4" s="21" t="s">
        <v>27</v>
      </c>
      <c r="O4" s="21" t="s">
        <v>28</v>
      </c>
      <c r="P4" s="21" t="s">
        <v>29</v>
      </c>
      <c r="S4" s="17" t="s">
        <v>11</v>
      </c>
      <c r="T4" s="17"/>
      <c r="U4" s="17"/>
      <c r="V4" s="17"/>
      <c r="W4" s="17"/>
      <c r="X4" s="17"/>
      <c r="Y4" s="17" t="s">
        <v>11</v>
      </c>
      <c r="Z4" s="17"/>
      <c r="AA4" s="17"/>
      <c r="AB4" s="17"/>
      <c r="AC4" s="17"/>
      <c r="AD4" s="17"/>
      <c r="AE4" s="17" t="s">
        <v>11</v>
      </c>
      <c r="AF4" s="17"/>
      <c r="AG4" s="17"/>
      <c r="AH4" s="17"/>
      <c r="AI4" s="17"/>
      <c r="AJ4" s="17"/>
      <c r="AK4" s="17" t="s">
        <v>11</v>
      </c>
      <c r="AL4" s="17"/>
      <c r="AM4" s="17"/>
      <c r="AN4" s="17"/>
      <c r="AO4" s="17"/>
    </row>
    <row r="5" spans="1:41" x14ac:dyDescent="0.25">
      <c r="A5" s="31" t="s">
        <v>107</v>
      </c>
      <c r="B5" s="21" t="s">
        <v>7</v>
      </c>
      <c r="C5" s="21" t="s">
        <v>8</v>
      </c>
      <c r="D5" s="21" t="s">
        <v>9</v>
      </c>
      <c r="E5" s="21" t="s">
        <v>140</v>
      </c>
      <c r="F5" s="21" t="s">
        <v>10</v>
      </c>
      <c r="S5" s="17" t="s">
        <v>12</v>
      </c>
      <c r="T5" s="17" t="s">
        <v>13</v>
      </c>
      <c r="U5" s="17" t="s">
        <v>14</v>
      </c>
      <c r="V5" s="17" t="s">
        <v>15</v>
      </c>
      <c r="W5" s="17"/>
      <c r="X5" s="17"/>
      <c r="Y5" s="17" t="s">
        <v>12</v>
      </c>
      <c r="Z5" s="17" t="s">
        <v>13</v>
      </c>
      <c r="AA5" s="17" t="s">
        <v>14</v>
      </c>
      <c r="AB5" s="17" t="s">
        <v>15</v>
      </c>
      <c r="AC5" s="17"/>
      <c r="AD5" s="17"/>
      <c r="AE5" s="17" t="s">
        <v>12</v>
      </c>
      <c r="AF5" s="17" t="s">
        <v>13</v>
      </c>
      <c r="AG5" s="17" t="s">
        <v>14</v>
      </c>
      <c r="AH5" s="17" t="s">
        <v>15</v>
      </c>
      <c r="AI5" s="17"/>
      <c r="AJ5" s="17"/>
      <c r="AK5" s="17" t="s">
        <v>12</v>
      </c>
      <c r="AL5" s="17" t="s">
        <v>13</v>
      </c>
      <c r="AM5" s="17" t="s">
        <v>14</v>
      </c>
      <c r="AN5" s="17" t="s">
        <v>15</v>
      </c>
      <c r="AO5" s="17"/>
    </row>
    <row r="6" spans="1:41" x14ac:dyDescent="0.25">
      <c r="A6" s="5" t="s">
        <v>4</v>
      </c>
      <c r="B6" s="25">
        <v>112</v>
      </c>
      <c r="C6" s="25">
        <v>329</v>
      </c>
      <c r="D6" s="26">
        <v>2.95</v>
      </c>
      <c r="E6" s="25">
        <v>117420</v>
      </c>
      <c r="F6" s="9">
        <f>ROUND(C6*$C$3,0)</f>
        <v>72</v>
      </c>
      <c r="I6" s="150" t="s">
        <v>111</v>
      </c>
      <c r="J6" s="5" t="s">
        <v>4</v>
      </c>
      <c r="K6" s="27">
        <f>INDEX($F$6:$F$8,MATCH($J6,$A$6:$A$8,0))*INDEX($D$14:$D$16,MATCH(K$4,$A$14:$A$16,0))</f>
        <v>14.513097234823542</v>
      </c>
      <c r="L6" s="27">
        <f t="shared" ref="L6:M8" si="0">INDEX($F$6:$F$8,MATCH($J6,$A$6:$A$8,0))*INDEX($D$14:$D$16,MATCH(L$4,$A$14:$A$16,0))</f>
        <v>15.117493040506011</v>
      </c>
      <c r="M6" s="27">
        <f t="shared" si="0"/>
        <v>15.355478730920993</v>
      </c>
      <c r="N6" s="27">
        <f>INDEX($F$6:$F$8,MATCH($J6,$A$6:$A$8,0))*INDEX($E$14:$E$16,MATCH(N$4,$A$14:$A$16,0))</f>
        <v>39.17342757701978</v>
      </c>
      <c r="O6" s="27">
        <f t="shared" ref="O6:P8" si="1">INDEX($F$6:$F$8,MATCH($J6,$A$6:$A$8,0))*INDEX($E$14:$E$16,MATCH(O$4,$A$14:$A$16,0))</f>
        <v>40.664933820301584</v>
      </c>
      <c r="P6" s="27">
        <f t="shared" si="1"/>
        <v>40.502059185526072</v>
      </c>
      <c r="S6" s="17" t="s">
        <v>17</v>
      </c>
      <c r="T6" s="17">
        <v>205.5</v>
      </c>
      <c r="U6" s="17"/>
      <c r="V6" s="17"/>
      <c r="W6" s="17"/>
      <c r="X6" s="17"/>
      <c r="Y6" s="17" t="s">
        <v>17</v>
      </c>
      <c r="Z6" s="17">
        <v>218.8</v>
      </c>
      <c r="AA6" s="17"/>
      <c r="AB6" s="17"/>
      <c r="AC6" s="17"/>
      <c r="AD6" s="17"/>
      <c r="AE6" s="17" t="s">
        <v>17</v>
      </c>
      <c r="AF6" s="17">
        <v>117.9</v>
      </c>
      <c r="AG6" s="17"/>
      <c r="AH6" s="17"/>
      <c r="AI6" s="17"/>
      <c r="AJ6" s="17"/>
      <c r="AK6" s="17" t="s">
        <v>17</v>
      </c>
      <c r="AL6" s="17">
        <v>132.1</v>
      </c>
      <c r="AM6" s="17"/>
      <c r="AN6" s="17"/>
      <c r="AO6" s="17"/>
    </row>
    <row r="7" spans="1:41" x14ac:dyDescent="0.25">
      <c r="A7" s="5" t="s">
        <v>16</v>
      </c>
      <c r="B7" s="25">
        <v>211</v>
      </c>
      <c r="C7" s="25">
        <v>584</v>
      </c>
      <c r="D7" s="26">
        <v>2.77</v>
      </c>
      <c r="E7" s="25">
        <v>237689</v>
      </c>
      <c r="F7" s="9">
        <f>ROUND(C7*$C$3,0)</f>
        <v>128</v>
      </c>
      <c r="G7" s="11"/>
      <c r="I7" s="150"/>
      <c r="J7" s="5" t="s">
        <v>16</v>
      </c>
      <c r="K7" s="27">
        <f t="shared" ref="K7:K8" si="2">INDEX($F$6:$F$8,MATCH($J7,$A$6:$A$8,0))*INDEX($D$14:$D$16,MATCH(K$4,$A$14:$A$16,0))</f>
        <v>25.801061750797409</v>
      </c>
      <c r="L7" s="27">
        <f t="shared" si="0"/>
        <v>26.875543183121795</v>
      </c>
      <c r="M7" s="27">
        <f t="shared" si="0"/>
        <v>27.298628854970655</v>
      </c>
      <c r="N7" s="27">
        <f t="shared" ref="N7:N8" si="3">INDEX($F$6:$F$8,MATCH($J7,$A$6:$A$8,0))*INDEX($E$14:$E$16,MATCH(N$4,$A$14:$A$16,0))</f>
        <v>69.641649025812939</v>
      </c>
      <c r="O7" s="27">
        <f t="shared" si="1"/>
        <v>72.29321568053615</v>
      </c>
      <c r="P7" s="27">
        <f t="shared" si="1"/>
        <v>72.003660774268567</v>
      </c>
      <c r="S7" s="17" t="s">
        <v>18</v>
      </c>
      <c r="T7" s="17">
        <v>578</v>
      </c>
      <c r="U7" s="17"/>
      <c r="V7" s="17"/>
      <c r="W7" s="17"/>
      <c r="X7" s="17"/>
      <c r="Y7" s="17" t="s">
        <v>18</v>
      </c>
      <c r="Z7" s="17">
        <v>754</v>
      </c>
      <c r="AA7" s="17"/>
      <c r="AB7" s="17"/>
      <c r="AC7" s="17"/>
      <c r="AD7" s="17"/>
      <c r="AE7" s="17" t="s">
        <v>18</v>
      </c>
      <c r="AF7" s="17">
        <v>337</v>
      </c>
      <c r="AG7" s="17"/>
      <c r="AH7" s="17"/>
      <c r="AI7" s="17"/>
      <c r="AJ7" s="17"/>
      <c r="AK7" s="17" t="s">
        <v>18</v>
      </c>
      <c r="AL7" s="17">
        <v>362</v>
      </c>
      <c r="AM7" s="17"/>
      <c r="AN7" s="17"/>
      <c r="AO7" s="17"/>
    </row>
    <row r="8" spans="1:41" x14ac:dyDescent="0.25">
      <c r="A8" s="5" t="s">
        <v>33</v>
      </c>
      <c r="B8" s="25">
        <v>144</v>
      </c>
      <c r="C8" s="25">
        <v>413</v>
      </c>
      <c r="D8" s="26">
        <v>2.87</v>
      </c>
      <c r="E8" s="25">
        <v>153012</v>
      </c>
      <c r="F8" s="9">
        <f>ROUND(C8*$C$3,0)</f>
        <v>91</v>
      </c>
      <c r="G8" s="11"/>
      <c r="H8" s="9"/>
      <c r="I8" s="150"/>
      <c r="J8" s="5" t="s">
        <v>33</v>
      </c>
      <c r="K8" s="27">
        <f t="shared" si="2"/>
        <v>18.342942338457533</v>
      </c>
      <c r="L8" s="27">
        <f t="shared" si="0"/>
        <v>19.10683148175065</v>
      </c>
      <c r="M8" s="27">
        <f t="shared" si="0"/>
        <v>19.407618951580702</v>
      </c>
      <c r="N8" s="27">
        <f t="shared" si="3"/>
        <v>49.510859854288888</v>
      </c>
      <c r="O8" s="27">
        <f t="shared" si="1"/>
        <v>51.395958022881167</v>
      </c>
      <c r="P8" s="27">
        <f t="shared" si="1"/>
        <v>51.190102581706562</v>
      </c>
      <c r="S8" s="17" t="s">
        <v>19</v>
      </c>
      <c r="T8" s="17">
        <v>231488</v>
      </c>
      <c r="U8" s="17">
        <v>400.49826989619379</v>
      </c>
      <c r="V8" s="17">
        <v>1126.4622871046229</v>
      </c>
      <c r="W8" s="17"/>
      <c r="X8" s="17"/>
      <c r="Y8" s="17" t="s">
        <v>19</v>
      </c>
      <c r="Z8" s="17">
        <v>312484</v>
      </c>
      <c r="AA8" s="17">
        <v>414.43501326259945</v>
      </c>
      <c r="AB8" s="17">
        <v>1428.1718464351004</v>
      </c>
      <c r="AC8" s="17"/>
      <c r="AD8" s="17"/>
      <c r="AE8" s="17" t="s">
        <v>19</v>
      </c>
      <c r="AF8" s="17">
        <v>112483</v>
      </c>
      <c r="AG8" s="17">
        <v>333.77744807121661</v>
      </c>
      <c r="AH8" s="17">
        <v>954.05428329092445</v>
      </c>
      <c r="AI8" s="17"/>
      <c r="AJ8" s="17"/>
      <c r="AK8" s="17" t="s">
        <v>19</v>
      </c>
      <c r="AL8" s="17">
        <v>121934</v>
      </c>
      <c r="AM8" s="17">
        <v>336.83425414364643</v>
      </c>
      <c r="AN8" s="17">
        <v>923.04314912944744</v>
      </c>
      <c r="AO8" s="17"/>
    </row>
    <row r="9" spans="1:41" x14ac:dyDescent="0.25">
      <c r="I9" s="2"/>
      <c r="K9" s="23"/>
      <c r="L9" s="23"/>
      <c r="M9" s="23"/>
      <c r="N9" s="23"/>
      <c r="O9" s="23"/>
      <c r="P9" s="23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  <c r="AG9" s="17"/>
      <c r="AH9" s="17"/>
      <c r="AI9" s="17"/>
      <c r="AJ9" s="17"/>
      <c r="AK9" s="17"/>
      <c r="AL9" s="17"/>
      <c r="AM9" s="17"/>
      <c r="AN9" s="17"/>
      <c r="AO9" s="17"/>
    </row>
    <row r="10" spans="1:41" x14ac:dyDescent="0.25">
      <c r="A10" s="1" t="s">
        <v>108</v>
      </c>
      <c r="C10" s="6">
        <f>Calculator!I10</f>
        <v>300</v>
      </c>
      <c r="I10" s="150" t="s">
        <v>112</v>
      </c>
      <c r="J10" s="5" t="s">
        <v>4</v>
      </c>
      <c r="K10" s="28">
        <f t="shared" ref="K10:P10" si="4">((K6*$C$10*$C$18)+(K6*$B$41))-(K6*$D$36)</f>
        <v>25135.866164876206</v>
      </c>
      <c r="L10" s="28">
        <f t="shared" si="4"/>
        <v>26182.645624590328</v>
      </c>
      <c r="M10" s="28">
        <f t="shared" si="4"/>
        <v>26594.823422798221</v>
      </c>
      <c r="N10" s="28">
        <f t="shared" si="4"/>
        <v>67846.16797252596</v>
      </c>
      <c r="O10" s="28">
        <f t="shared" si="4"/>
        <v>70429.372695033613</v>
      </c>
      <c r="P10" s="28">
        <f t="shared" si="4"/>
        <v>70147.283010445331</v>
      </c>
      <c r="S10" s="17"/>
      <c r="T10" s="17" t="s">
        <v>20</v>
      </c>
      <c r="U10" s="17" t="s">
        <v>21</v>
      </c>
      <c r="V10" s="17" t="s">
        <v>22</v>
      </c>
      <c r="W10" s="17" t="s">
        <v>23</v>
      </c>
      <c r="X10" s="17"/>
      <c r="Y10" s="17"/>
      <c r="Z10" s="17" t="s">
        <v>20</v>
      </c>
      <c r="AA10" s="17" t="s">
        <v>21</v>
      </c>
      <c r="AB10" s="17" t="s">
        <v>22</v>
      </c>
      <c r="AC10" s="17" t="s">
        <v>23</v>
      </c>
      <c r="AD10" s="17"/>
      <c r="AE10" s="17"/>
      <c r="AF10" s="17" t="s">
        <v>20</v>
      </c>
      <c r="AG10" s="17" t="s">
        <v>21</v>
      </c>
      <c r="AH10" s="17" t="s">
        <v>22</v>
      </c>
      <c r="AI10" s="17" t="s">
        <v>23</v>
      </c>
      <c r="AJ10" s="17"/>
      <c r="AK10" s="17"/>
      <c r="AL10" s="17" t="s">
        <v>20</v>
      </c>
      <c r="AM10" s="17" t="s">
        <v>21</v>
      </c>
      <c r="AN10" s="17" t="s">
        <v>22</v>
      </c>
      <c r="AO10" s="17" t="s">
        <v>23</v>
      </c>
    </row>
    <row r="11" spans="1:41" x14ac:dyDescent="0.25">
      <c r="A11" s="5"/>
      <c r="B11" s="5"/>
      <c r="C11" s="5"/>
      <c r="D11" s="5"/>
      <c r="E11" s="5"/>
      <c r="I11" s="150"/>
      <c r="J11" s="5" t="s">
        <v>16</v>
      </c>
      <c r="K11" s="28">
        <f t="shared" ref="K11:P11" si="5">((K7*$C$10*$C$18)+(K7*$B$42))-(K7*$B$36)</f>
        <v>42021.716105263258</v>
      </c>
      <c r="L11" s="28">
        <f t="shared" si="5"/>
        <v>43771.70430906718</v>
      </c>
      <c r="M11" s="28">
        <f t="shared" si="5"/>
        <v>44460.776183796821</v>
      </c>
      <c r="N11" s="28">
        <f t="shared" si="5"/>
        <v>113424.07660315177</v>
      </c>
      <c r="O11" s="28">
        <f t="shared" si="5"/>
        <v>117742.63458635252</v>
      </c>
      <c r="P11" s="28">
        <f t="shared" si="5"/>
        <v>117271.041820691</v>
      </c>
      <c r="S11" s="17" t="s">
        <v>24</v>
      </c>
      <c r="T11" s="17"/>
      <c r="U11" s="17"/>
      <c r="V11" s="17"/>
      <c r="W11" s="17"/>
      <c r="X11" s="17"/>
      <c r="Y11" s="17" t="s">
        <v>24</v>
      </c>
      <c r="Z11" s="17"/>
      <c r="AA11" s="17"/>
      <c r="AB11" s="17"/>
      <c r="AC11" s="17"/>
      <c r="AD11" s="17"/>
      <c r="AE11" s="17" t="s">
        <v>24</v>
      </c>
      <c r="AF11" s="17"/>
      <c r="AG11" s="17"/>
      <c r="AH11" s="17"/>
      <c r="AI11" s="17"/>
      <c r="AJ11" s="17"/>
      <c r="AK11" s="17" t="s">
        <v>24</v>
      </c>
      <c r="AL11" s="17"/>
      <c r="AM11" s="17"/>
      <c r="AN11" s="17"/>
      <c r="AO11" s="17"/>
    </row>
    <row r="12" spans="1:41" s="5" customFormat="1" x14ac:dyDescent="0.25">
      <c r="A12"/>
      <c r="B12"/>
      <c r="C12" s="32" t="s">
        <v>124</v>
      </c>
      <c r="D12" s="149" t="s">
        <v>121</v>
      </c>
      <c r="E12" s="149"/>
      <c r="G12" s="10"/>
      <c r="I12" s="150"/>
      <c r="J12" s="5" t="s">
        <v>33</v>
      </c>
      <c r="K12" s="28">
        <f t="shared" ref="K12:P12" si="6">((K8*$C$10*$C$18)+(K8*$B$43))-(K8*$F$36)</f>
        <v>31788.319072546903</v>
      </c>
      <c r="L12" s="28">
        <f t="shared" si="6"/>
        <v>33112.138957873874</v>
      </c>
      <c r="M12" s="28">
        <f t="shared" si="6"/>
        <v>33633.403643089361</v>
      </c>
      <c r="N12" s="28">
        <f t="shared" si="6"/>
        <v>85802.320127482642</v>
      </c>
      <c r="O12" s="28">
        <f t="shared" si="6"/>
        <v>89069.195253653073</v>
      </c>
      <c r="P12" s="28">
        <f t="shared" si="6"/>
        <v>88712.447774097469</v>
      </c>
      <c r="Q12" s="10"/>
      <c r="S12" s="17" t="s">
        <v>26</v>
      </c>
      <c r="T12" s="17">
        <v>1459437</v>
      </c>
      <c r="U12" s="17">
        <v>2524.9775086505192</v>
      </c>
      <c r="V12" s="17">
        <v>7101.8832116788317</v>
      </c>
      <c r="W12" s="17">
        <v>6.3045903027370747</v>
      </c>
      <c r="X12" s="17"/>
      <c r="Y12" s="17" t="s">
        <v>26</v>
      </c>
      <c r="Z12" s="17">
        <v>1986858</v>
      </c>
      <c r="AA12" s="17">
        <v>2635.0901856763926</v>
      </c>
      <c r="AB12" s="17">
        <v>9080.7038391224851</v>
      </c>
      <c r="AC12" s="17">
        <v>6.3582711434825461</v>
      </c>
      <c r="AD12" s="17"/>
      <c r="AE12" s="17" t="s">
        <v>26</v>
      </c>
      <c r="AF12" s="17">
        <v>723120</v>
      </c>
      <c r="AG12" s="17">
        <v>2145.7566765578636</v>
      </c>
      <c r="AH12" s="17">
        <v>6133.333333333333</v>
      </c>
      <c r="AI12" s="17">
        <v>6.4287047820559549</v>
      </c>
      <c r="AJ12" s="17"/>
      <c r="AK12" s="17" t="s">
        <v>26</v>
      </c>
      <c r="AL12" s="17">
        <v>770860</v>
      </c>
      <c r="AM12" s="17">
        <v>2129.4475138121547</v>
      </c>
      <c r="AN12" s="17">
        <v>5835.4277062831188</v>
      </c>
      <c r="AO12" s="17">
        <v>6.3219446585857924</v>
      </c>
    </row>
    <row r="13" spans="1:41" x14ac:dyDescent="0.25">
      <c r="A13" s="20" t="s">
        <v>70</v>
      </c>
      <c r="B13" s="22" t="s">
        <v>25</v>
      </c>
      <c r="C13" s="21" t="s">
        <v>110</v>
      </c>
      <c r="D13" s="21" t="s">
        <v>122</v>
      </c>
      <c r="E13" s="21" t="s">
        <v>123</v>
      </c>
      <c r="G13" s="12"/>
      <c r="H13" s="2"/>
      <c r="J13" s="5"/>
      <c r="K13" s="23"/>
      <c r="L13" s="23"/>
      <c r="M13" s="23"/>
      <c r="N13" s="23"/>
      <c r="O13" s="23"/>
      <c r="P13" s="23"/>
      <c r="S13" s="17" t="s">
        <v>30</v>
      </c>
      <c r="T13" s="17">
        <v>18270</v>
      </c>
      <c r="U13" s="17">
        <v>31.608996539792386</v>
      </c>
      <c r="V13" s="17">
        <v>88.9051094890511</v>
      </c>
      <c r="W13" s="17">
        <v>7.8924177495161743E-2</v>
      </c>
      <c r="X13" s="17"/>
      <c r="Y13" s="17" t="s">
        <v>30</v>
      </c>
      <c r="Z13" s="17">
        <v>114027</v>
      </c>
      <c r="AA13" s="17">
        <v>151.22944297082228</v>
      </c>
      <c r="AB13" s="17">
        <v>521.14716636197443</v>
      </c>
      <c r="AC13" s="17">
        <v>0.36490508314025677</v>
      </c>
      <c r="AD13" s="17"/>
      <c r="AE13" s="17" t="s">
        <v>30</v>
      </c>
      <c r="AF13" s="17">
        <v>46937</v>
      </c>
      <c r="AG13" s="17">
        <v>139.27893175074183</v>
      </c>
      <c r="AH13" s="17">
        <v>398.108566581849</v>
      </c>
      <c r="AI13" s="17">
        <v>0.41728083354818063</v>
      </c>
      <c r="AJ13" s="17"/>
      <c r="AK13" s="17" t="s">
        <v>30</v>
      </c>
      <c r="AL13" s="17">
        <v>54476</v>
      </c>
      <c r="AM13" s="17">
        <v>150.48618784530387</v>
      </c>
      <c r="AN13" s="17">
        <v>412.38455715367149</v>
      </c>
      <c r="AO13" s="17">
        <v>0.44676628339921598</v>
      </c>
    </row>
    <row r="14" spans="1:41" x14ac:dyDescent="0.25">
      <c r="A14" s="5" t="s">
        <v>27</v>
      </c>
      <c r="B14" s="17">
        <v>400</v>
      </c>
      <c r="C14" s="28">
        <f>IF($C$10=250,3900,IF($C$10=300,4200,IF($C$10=350,4600,IF($C$10=400,5000,IF($C$10=450,5300,"out of range")))))</f>
        <v>4200</v>
      </c>
      <c r="D14" s="29">
        <f>('Growth Rates-Hide'!J21)/'Calculations-Hide'!C14</f>
        <v>0.20157079492810476</v>
      </c>
      <c r="E14" s="29">
        <f>('Growth Rates-Hide'!J33)/'Calculations-Hide'!C14</f>
        <v>0.54407538301416358</v>
      </c>
      <c r="F14" s="16"/>
      <c r="I14" s="150" t="s">
        <v>113</v>
      </c>
      <c r="J14" t="s">
        <v>4</v>
      </c>
      <c r="K14" s="116">
        <f t="shared" ref="K14:P14" si="7">K10/$F$6</f>
        <v>349.10925228994734</v>
      </c>
      <c r="L14" s="28">
        <f t="shared" si="7"/>
        <v>363.64785589708788</v>
      </c>
      <c r="M14" s="28">
        <f t="shared" si="7"/>
        <v>369.37254753886418</v>
      </c>
      <c r="N14" s="28">
        <f t="shared" si="7"/>
        <v>942.30788850730505</v>
      </c>
      <c r="O14" s="28">
        <f t="shared" si="7"/>
        <v>978.1857318754669</v>
      </c>
      <c r="P14" s="28">
        <f t="shared" si="7"/>
        <v>974.26781958951847</v>
      </c>
      <c r="S14" s="17" t="s">
        <v>31</v>
      </c>
      <c r="T14" s="17">
        <v>10774</v>
      </c>
      <c r="U14" s="17">
        <v>18.640138408304498</v>
      </c>
      <c r="V14" s="17">
        <v>52.428223844282236</v>
      </c>
      <c r="W14" s="17">
        <v>4.6542369366878632E-2</v>
      </c>
      <c r="X14" s="17"/>
      <c r="Y14" s="17" t="s">
        <v>31</v>
      </c>
      <c r="Z14" s="17">
        <v>12332</v>
      </c>
      <c r="AA14" s="17">
        <v>16.355437665782492</v>
      </c>
      <c r="AB14" s="17">
        <v>56.361974405850091</v>
      </c>
      <c r="AC14" s="17">
        <v>3.946442057833361E-2</v>
      </c>
      <c r="AD14" s="17"/>
      <c r="AE14" s="17" t="s">
        <v>31</v>
      </c>
      <c r="AF14" s="17">
        <v>5843</v>
      </c>
      <c r="AG14" s="17">
        <v>17.338278931750743</v>
      </c>
      <c r="AH14" s="17">
        <v>49.558948261238335</v>
      </c>
      <c r="AI14" s="17">
        <v>5.1945627339242371E-2</v>
      </c>
      <c r="AJ14" s="17"/>
      <c r="AK14" s="17" t="s">
        <v>31</v>
      </c>
      <c r="AL14" s="17">
        <v>15180</v>
      </c>
      <c r="AM14" s="17">
        <v>41.933701657458563</v>
      </c>
      <c r="AN14" s="17">
        <v>114.91294473883423</v>
      </c>
      <c r="AO14" s="17">
        <v>0.12449357849328326</v>
      </c>
    </row>
    <row r="15" spans="1:41" x14ac:dyDescent="0.25">
      <c r="A15" s="5" t="s">
        <v>28</v>
      </c>
      <c r="B15" s="17">
        <v>450</v>
      </c>
      <c r="C15" s="28">
        <f>IF($C$10=250,4200,IF($C$10=300,4500,IF($C$10=350,4900,IF($C$10=400,5300,IF($C$10=450,5600,IF($C$10=500,6000, IF($C$10=550,6400,"out of range")))))))</f>
        <v>4500</v>
      </c>
      <c r="D15" s="29">
        <f>('Growth Rates-Hide'!Q21)/'Calculations-Hide'!C15</f>
        <v>0.20996518111813903</v>
      </c>
      <c r="E15" s="29">
        <f>('Growth Rates-Hide'!Q33)/'Calculations-Hide'!C15</f>
        <v>0.56479074750418867</v>
      </c>
      <c r="I15" s="150"/>
      <c r="J15" t="s">
        <v>16</v>
      </c>
      <c r="K15" s="116">
        <f t="shared" ref="K15:P15" si="8">K11/$F$7</f>
        <v>328.2946570723692</v>
      </c>
      <c r="L15" s="28">
        <f t="shared" si="8"/>
        <v>341.96643991458734</v>
      </c>
      <c r="M15" s="28">
        <f t="shared" si="8"/>
        <v>347.34981393591266</v>
      </c>
      <c r="N15" s="28">
        <f t="shared" si="8"/>
        <v>886.12559846212321</v>
      </c>
      <c r="O15" s="28">
        <f t="shared" si="8"/>
        <v>919.86433270587906</v>
      </c>
      <c r="P15" s="28">
        <f t="shared" si="8"/>
        <v>916.18001422414841</v>
      </c>
      <c r="S15" s="17" t="s">
        <v>32</v>
      </c>
      <c r="T15" s="17">
        <v>1488481</v>
      </c>
      <c r="U15" s="17">
        <v>2575.2266435986162</v>
      </c>
      <c r="V15" s="17">
        <v>7243.2165450121647</v>
      </c>
      <c r="W15" s="17">
        <v>6.4300568495991151</v>
      </c>
      <c r="X15" s="17"/>
      <c r="Y15" s="17" t="s">
        <v>32</v>
      </c>
      <c r="Z15" s="17">
        <v>2113217</v>
      </c>
      <c r="AA15" s="17">
        <v>2802.6750663129974</v>
      </c>
      <c r="AB15" s="17">
        <v>9658.2129798903097</v>
      </c>
      <c r="AC15" s="17">
        <v>6.7626406472011364</v>
      </c>
      <c r="AD15" s="17"/>
      <c r="AE15" s="17" t="s">
        <v>32</v>
      </c>
      <c r="AF15" s="17">
        <v>775900</v>
      </c>
      <c r="AG15" s="17">
        <v>2302.373887240356</v>
      </c>
      <c r="AH15" s="17">
        <v>6581.0008481764207</v>
      </c>
      <c r="AI15" s="17">
        <v>6.8979312429433781</v>
      </c>
      <c r="AJ15" s="17"/>
      <c r="AK15" s="17" t="s">
        <v>32</v>
      </c>
      <c r="AL15" s="17">
        <v>840516</v>
      </c>
      <c r="AM15" s="17">
        <v>2321.8674033149173</v>
      </c>
      <c r="AN15" s="17">
        <v>6362.7252081756242</v>
      </c>
      <c r="AO15" s="17">
        <v>6.8932045204782924</v>
      </c>
    </row>
    <row r="16" spans="1:41" x14ac:dyDescent="0.25">
      <c r="A16" s="5" t="s">
        <v>29</v>
      </c>
      <c r="B16" s="17">
        <v>500</v>
      </c>
      <c r="C16" s="28">
        <f>IF($C$10=250,4400,IF($C$10=300,4800,IF($C$10=350,5200,IF($C$10=400,5500,IF($C$10=450,5900,IF($C$10=500,6300, IF($C$10=550,6700,"out of range")))))))</f>
        <v>4800</v>
      </c>
      <c r="D16" s="29">
        <f>('Growth Rates-Hide'!X21)/'Calculations-Hide'!C16</f>
        <v>0.21327053792945824</v>
      </c>
      <c r="E16" s="29">
        <f>('Growth Rates-Hide'!X33)/'Calculations-Hide'!C16</f>
        <v>0.56252859979897318</v>
      </c>
      <c r="I16" s="150"/>
      <c r="J16" t="s">
        <v>33</v>
      </c>
      <c r="K16" s="116">
        <f t="shared" ref="K16:P16" si="9">K12/$F$8</f>
        <v>349.32218761040554</v>
      </c>
      <c r="L16" s="28">
        <f t="shared" si="9"/>
        <v>363.86965887773488</v>
      </c>
      <c r="M16" s="28">
        <f t="shared" si="9"/>
        <v>369.5978422317512</v>
      </c>
      <c r="N16" s="28">
        <f t="shared" si="9"/>
        <v>942.88263876354551</v>
      </c>
      <c r="O16" s="28">
        <f t="shared" si="9"/>
        <v>978.78236542475906</v>
      </c>
      <c r="P16" s="28">
        <f t="shared" si="9"/>
        <v>974.86206345162054</v>
      </c>
      <c r="S16" s="17" t="s">
        <v>34</v>
      </c>
      <c r="T16" s="17"/>
      <c r="U16" s="17"/>
      <c r="V16" s="17"/>
      <c r="W16" s="17"/>
      <c r="X16" s="17"/>
      <c r="Y16" s="17" t="s">
        <v>34</v>
      </c>
      <c r="Z16" s="17"/>
      <c r="AA16" s="17"/>
      <c r="AB16" s="17"/>
      <c r="AC16" s="17"/>
      <c r="AD16" s="17"/>
      <c r="AE16" s="17" t="s">
        <v>34</v>
      </c>
      <c r="AF16" s="17"/>
      <c r="AG16" s="17"/>
      <c r="AH16" s="17"/>
      <c r="AI16" s="17"/>
      <c r="AJ16" s="17"/>
      <c r="AK16" s="17" t="s">
        <v>34</v>
      </c>
      <c r="AL16" s="17"/>
      <c r="AM16" s="17"/>
      <c r="AN16" s="17"/>
      <c r="AO16" s="17"/>
    </row>
    <row r="17" spans="1:41" x14ac:dyDescent="0.25">
      <c r="I17" s="150"/>
      <c r="J17" t="s">
        <v>48</v>
      </c>
      <c r="K17" s="116">
        <f t="shared" ref="K17:P17" si="10">AVERAGE(K14:K16)</f>
        <v>342.24203232424071</v>
      </c>
      <c r="L17" s="28">
        <f t="shared" si="10"/>
        <v>356.49465156313664</v>
      </c>
      <c r="M17" s="28">
        <f t="shared" si="10"/>
        <v>362.10673456884268</v>
      </c>
      <c r="N17" s="28">
        <f t="shared" si="10"/>
        <v>923.77204191099133</v>
      </c>
      <c r="O17" s="28">
        <f t="shared" si="10"/>
        <v>958.94414333536827</v>
      </c>
      <c r="P17" s="28">
        <f t="shared" si="10"/>
        <v>955.10329908842914</v>
      </c>
      <c r="S17" s="17" t="s">
        <v>35</v>
      </c>
      <c r="T17" s="17">
        <v>155065</v>
      </c>
      <c r="U17" s="17">
        <v>268.27854671280278</v>
      </c>
      <c r="V17" s="17">
        <v>754.57420924574205</v>
      </c>
      <c r="W17" s="17">
        <v>0.66986193668786287</v>
      </c>
      <c r="X17" s="17"/>
      <c r="Y17" s="17" t="s">
        <v>35</v>
      </c>
      <c r="Z17" s="17">
        <v>217995</v>
      </c>
      <c r="AA17" s="17">
        <v>289.11803713527854</v>
      </c>
      <c r="AB17" s="17">
        <v>996.32084095063976</v>
      </c>
      <c r="AC17" s="17">
        <v>0.69761971812956824</v>
      </c>
      <c r="AD17" s="17"/>
      <c r="AE17" s="17" t="s">
        <v>35</v>
      </c>
      <c r="AF17" s="17">
        <v>83978</v>
      </c>
      <c r="AG17" s="17">
        <v>249.19287833827894</v>
      </c>
      <c r="AH17" s="17">
        <v>712.28159457167089</v>
      </c>
      <c r="AI17" s="17">
        <v>0.74658392823804487</v>
      </c>
      <c r="AJ17" s="17"/>
      <c r="AK17" s="17" t="s">
        <v>35</v>
      </c>
      <c r="AL17" s="17">
        <v>77902</v>
      </c>
      <c r="AM17" s="17">
        <v>215.1988950276243</v>
      </c>
      <c r="AN17" s="17">
        <v>589.71990915972754</v>
      </c>
      <c r="AO17" s="17">
        <v>0.63888661078944342</v>
      </c>
    </row>
    <row r="18" spans="1:41" x14ac:dyDescent="0.25">
      <c r="A18" s="1" t="s">
        <v>109</v>
      </c>
      <c r="C18" s="6">
        <f>Calculator!I9</f>
        <v>6</v>
      </c>
      <c r="S18" s="17" t="s">
        <v>36</v>
      </c>
      <c r="T18" s="17">
        <v>47199</v>
      </c>
      <c r="U18" s="17">
        <v>81.659169550173004</v>
      </c>
      <c r="V18" s="17">
        <v>229.67883211678833</v>
      </c>
      <c r="W18" s="17">
        <v>0.20389393834669617</v>
      </c>
      <c r="X18" s="17"/>
      <c r="Y18" s="17" t="s">
        <v>36</v>
      </c>
      <c r="Z18" s="17">
        <v>75233</v>
      </c>
      <c r="AA18" s="17">
        <v>99.778514588859423</v>
      </c>
      <c r="AB18" s="17">
        <v>343.8436928702011</v>
      </c>
      <c r="AC18" s="17">
        <v>0.24075792680585245</v>
      </c>
      <c r="AD18" s="17"/>
      <c r="AE18" s="17" t="s">
        <v>36</v>
      </c>
      <c r="AF18" s="17">
        <v>31746</v>
      </c>
      <c r="AG18" s="17">
        <v>94.201780415430264</v>
      </c>
      <c r="AH18" s="17">
        <v>269.26208651399492</v>
      </c>
      <c r="AI18" s="17">
        <v>0.28222931465199186</v>
      </c>
      <c r="AJ18" s="17"/>
      <c r="AK18" s="17" t="s">
        <v>36</v>
      </c>
      <c r="AL18" s="17">
        <v>29208</v>
      </c>
      <c r="AM18" s="17">
        <v>80.685082872928177</v>
      </c>
      <c r="AN18" s="17">
        <v>221.10522331566995</v>
      </c>
      <c r="AO18" s="17">
        <v>0.23953942296652286</v>
      </c>
    </row>
    <row r="19" spans="1:41" x14ac:dyDescent="0.25">
      <c r="S19" s="17" t="s">
        <v>37</v>
      </c>
      <c r="T19" s="17">
        <v>31465</v>
      </c>
      <c r="U19" s="17">
        <v>54.437716262975776</v>
      </c>
      <c r="V19" s="17">
        <v>153.11435523114355</v>
      </c>
      <c r="W19" s="17">
        <v>0.13592497235277853</v>
      </c>
      <c r="X19" s="17"/>
      <c r="Y19" s="17" t="s">
        <v>37</v>
      </c>
      <c r="Z19" s="17">
        <v>38169</v>
      </c>
      <c r="AA19" s="17">
        <v>50.622015915119363</v>
      </c>
      <c r="AB19" s="17">
        <v>174.4469835466179</v>
      </c>
      <c r="AC19" s="17">
        <v>0.12214705392916117</v>
      </c>
      <c r="AD19" s="17"/>
      <c r="AE19" s="17" t="s">
        <v>37</v>
      </c>
      <c r="AF19" s="17">
        <v>16713</v>
      </c>
      <c r="AG19" s="17">
        <v>49.593471810089021</v>
      </c>
      <c r="AH19" s="17">
        <v>141.75572519083968</v>
      </c>
      <c r="AI19" s="17">
        <v>0.14858245245948276</v>
      </c>
      <c r="AJ19" s="17"/>
      <c r="AK19" s="17" t="s">
        <v>37</v>
      </c>
      <c r="AL19" s="17">
        <v>21190</v>
      </c>
      <c r="AM19" s="17">
        <v>58.535911602209943</v>
      </c>
      <c r="AN19" s="17">
        <v>160.40878122634368</v>
      </c>
      <c r="AO19" s="17">
        <v>0.17378253809437894</v>
      </c>
    </row>
    <row r="20" spans="1:41" ht="15" customHeight="1" x14ac:dyDescent="0.25">
      <c r="A20" s="1" t="s">
        <v>119</v>
      </c>
      <c r="K20" s="146" t="s">
        <v>114</v>
      </c>
      <c r="L20" s="147"/>
      <c r="M20" s="148"/>
      <c r="N20" s="146" t="s">
        <v>115</v>
      </c>
      <c r="O20" s="147"/>
      <c r="P20" s="148"/>
      <c r="S20" s="17" t="s">
        <v>38</v>
      </c>
      <c r="T20" s="17">
        <v>16537</v>
      </c>
      <c r="U20" s="17">
        <v>28.610726643598618</v>
      </c>
      <c r="V20" s="17">
        <v>80.472019464720191</v>
      </c>
      <c r="W20" s="17">
        <v>7.1437828310754764E-2</v>
      </c>
      <c r="X20" s="17"/>
      <c r="Y20" s="17" t="s">
        <v>38</v>
      </c>
      <c r="Z20" s="17">
        <v>20407</v>
      </c>
      <c r="AA20" s="17">
        <v>27.064986737400531</v>
      </c>
      <c r="AB20" s="17">
        <v>93.267824497257763</v>
      </c>
      <c r="AC20" s="17">
        <v>6.5305743654075085E-2</v>
      </c>
      <c r="AD20" s="17"/>
      <c r="AE20" s="17" t="s">
        <v>38</v>
      </c>
      <c r="AF20" s="17">
        <v>8959</v>
      </c>
      <c r="AG20" s="17">
        <v>26.584569732937684</v>
      </c>
      <c r="AH20" s="17">
        <v>75.988125530110253</v>
      </c>
      <c r="AI20" s="17">
        <v>7.9647591191557829E-2</v>
      </c>
      <c r="AJ20" s="17"/>
      <c r="AK20" s="17" t="s">
        <v>38</v>
      </c>
      <c r="AL20" s="17">
        <v>6784</v>
      </c>
      <c r="AM20" s="17">
        <v>18.740331491712706</v>
      </c>
      <c r="AN20" s="17">
        <v>51.355034065102195</v>
      </c>
      <c r="AO20" s="17">
        <v>5.5636655895812487E-2</v>
      </c>
    </row>
    <row r="21" spans="1:41" x14ac:dyDescent="0.25">
      <c r="K21" s="21" t="s">
        <v>27</v>
      </c>
      <c r="L21" s="21" t="s">
        <v>28</v>
      </c>
      <c r="M21" s="21" t="s">
        <v>29</v>
      </c>
      <c r="N21" s="21" t="s">
        <v>27</v>
      </c>
      <c r="O21" s="21" t="s">
        <v>28</v>
      </c>
      <c r="P21" s="21" t="s">
        <v>29</v>
      </c>
      <c r="S21" s="17" t="s">
        <v>39</v>
      </c>
      <c r="T21" s="17">
        <v>22091</v>
      </c>
      <c r="U21" s="17">
        <v>38.219723183391004</v>
      </c>
      <c r="V21" s="17">
        <v>107.49878345498783</v>
      </c>
      <c r="W21" s="17">
        <v>9.5430432679015756E-2</v>
      </c>
      <c r="X21" s="17"/>
      <c r="Y21" s="17" t="s">
        <v>39</v>
      </c>
      <c r="Z21" s="17">
        <v>37225</v>
      </c>
      <c r="AA21" s="17">
        <v>49.370026525198938</v>
      </c>
      <c r="AB21" s="17">
        <v>170.13254113345519</v>
      </c>
      <c r="AC21" s="17">
        <v>0.11912609925628193</v>
      </c>
      <c r="AD21" s="17"/>
      <c r="AE21" s="17" t="s">
        <v>39</v>
      </c>
      <c r="AF21" s="17">
        <v>12454</v>
      </c>
      <c r="AG21" s="17">
        <v>36.955489614243326</v>
      </c>
      <c r="AH21" s="17">
        <v>105.63189143341815</v>
      </c>
      <c r="AI21" s="17">
        <v>0.11071895308624415</v>
      </c>
      <c r="AJ21" s="17"/>
      <c r="AK21" s="17" t="s">
        <v>39</v>
      </c>
      <c r="AL21" s="17">
        <v>16594</v>
      </c>
      <c r="AM21" s="17">
        <v>45.839779005524861</v>
      </c>
      <c r="AN21" s="17">
        <v>125.61695685087055</v>
      </c>
      <c r="AO21" s="17">
        <v>0.13609001591024653</v>
      </c>
    </row>
    <row r="22" spans="1:41" ht="15" customHeight="1" x14ac:dyDescent="0.25">
      <c r="A22" s="20" t="s">
        <v>118</v>
      </c>
      <c r="B22" s="21" t="s">
        <v>117</v>
      </c>
      <c r="I22" s="14" t="s">
        <v>112</v>
      </c>
      <c r="K22" s="28">
        <f>(($K$8*$C$10*$C$18)+($K$8*$B$43))-($K$8*$B$27)</f>
        <v>31678.261418516158</v>
      </c>
      <c r="L22" s="28">
        <f>(($L$8*$C$10*$C$18)+($L$8*$B$43))-($L$8*$B$27)</f>
        <v>32997.497968983371</v>
      </c>
      <c r="M22" s="28">
        <f>(($M$8*$C$10*$C$18)+($M$8*$B$43))-($M$8*$B$27)</f>
        <v>33516.957929379874</v>
      </c>
      <c r="N22" s="28">
        <f>((N8*$C$10*$C$18)+(N8*$B$43))-(N8*$B$27)</f>
        <v>85505.254968356909</v>
      </c>
      <c r="O22" s="28">
        <f>((O8*$C$10*$C$18)+(O8*$B$43))-(O8*$B$27)</f>
        <v>88760.819505515785</v>
      </c>
      <c r="P22" s="28">
        <f>((P8*$C$10*$C$18)+(P8*$B$43))-(P8*$B$27)</f>
        <v>88405.307158607233</v>
      </c>
      <c r="S22" s="17" t="s">
        <v>40</v>
      </c>
      <c r="T22" s="17">
        <v>177397</v>
      </c>
      <c r="U22" s="17">
        <v>306.9152249134948</v>
      </c>
      <c r="V22" s="17">
        <v>863.24574209245748</v>
      </c>
      <c r="W22" s="17">
        <v>0.76633346004976499</v>
      </c>
      <c r="X22" s="17"/>
      <c r="Y22" s="17" t="s">
        <v>40</v>
      </c>
      <c r="Z22" s="17">
        <v>245710</v>
      </c>
      <c r="AA22" s="17">
        <v>325.87533156498671</v>
      </c>
      <c r="AB22" s="17">
        <v>1122.9890310786107</v>
      </c>
      <c r="AC22" s="17">
        <v>0.78631225918767045</v>
      </c>
      <c r="AD22" s="17"/>
      <c r="AE22" s="17" t="s">
        <v>40</v>
      </c>
      <c r="AF22" s="17">
        <v>117624</v>
      </c>
      <c r="AG22" s="17">
        <v>349.03264094955489</v>
      </c>
      <c r="AH22" s="17">
        <v>997.65903307888038</v>
      </c>
      <c r="AI22" s="17">
        <v>1.0457046842633999</v>
      </c>
      <c r="AJ22" s="17"/>
      <c r="AK22" s="17" t="s">
        <v>40</v>
      </c>
      <c r="AL22" s="17">
        <v>119042</v>
      </c>
      <c r="AM22" s="17">
        <v>328.84530386740329</v>
      </c>
      <c r="AN22" s="17">
        <v>901.15064345193036</v>
      </c>
      <c r="AO22" s="17">
        <v>0.9762822510538488</v>
      </c>
    </row>
    <row r="23" spans="1:41" x14ac:dyDescent="0.25">
      <c r="A23" t="s">
        <v>36</v>
      </c>
      <c r="B23" s="6">
        <f>Calculator!I17</f>
        <v>78</v>
      </c>
      <c r="I23" s="14" t="s">
        <v>113</v>
      </c>
      <c r="K23" s="28">
        <f t="shared" ref="K23:P23" si="11">K22/$F$8</f>
        <v>348.11276284083692</v>
      </c>
      <c r="L23" s="28">
        <f t="shared" si="11"/>
        <v>362.60986779102603</v>
      </c>
      <c r="M23" s="28">
        <f t="shared" si="11"/>
        <v>368.31821900417447</v>
      </c>
      <c r="N23" s="28">
        <f t="shared" si="11"/>
        <v>939.61818646546055</v>
      </c>
      <c r="O23" s="28">
        <f t="shared" si="11"/>
        <v>975.39362093973386</v>
      </c>
      <c r="P23" s="28">
        <f t="shared" si="11"/>
        <v>971.48689185282672</v>
      </c>
      <c r="S23" s="17" t="s">
        <v>41</v>
      </c>
      <c r="T23" s="17">
        <v>133103</v>
      </c>
      <c r="U23" s="17">
        <v>230.28200692041523</v>
      </c>
      <c r="V23" s="17">
        <v>647.70316301703167</v>
      </c>
      <c r="W23" s="17">
        <v>0.5749887683162842</v>
      </c>
      <c r="X23" s="17"/>
      <c r="Y23" s="17" t="s">
        <v>41</v>
      </c>
      <c r="Z23" s="17">
        <v>178697</v>
      </c>
      <c r="AA23" s="17">
        <v>236.99867374005305</v>
      </c>
      <c r="AB23" s="17">
        <v>816.71389396709321</v>
      </c>
      <c r="AC23" s="17">
        <v>0.57185967921557579</v>
      </c>
      <c r="AD23" s="17"/>
      <c r="AE23" s="17" t="s">
        <v>41</v>
      </c>
      <c r="AF23" s="17">
        <v>36318</v>
      </c>
      <c r="AG23" s="17">
        <v>107.76854599406528</v>
      </c>
      <c r="AH23" s="17">
        <v>308.04071246819336</v>
      </c>
      <c r="AI23" s="17">
        <v>0.32287545673568452</v>
      </c>
      <c r="AJ23" s="17"/>
      <c r="AK23" s="17" t="s">
        <v>41</v>
      </c>
      <c r="AL23" s="17">
        <v>36323</v>
      </c>
      <c r="AM23" s="17">
        <v>100.33977900552486</v>
      </c>
      <c r="AN23" s="17">
        <v>274.96593489780469</v>
      </c>
      <c r="AO23" s="17">
        <v>0.29789066216149718</v>
      </c>
    </row>
    <row r="24" spans="1:41" x14ac:dyDescent="0.25">
      <c r="A24" t="s">
        <v>37</v>
      </c>
      <c r="B24" s="6">
        <f>Calculator!I18</f>
        <v>49</v>
      </c>
      <c r="I24" s="14"/>
      <c r="S24" s="17" t="s">
        <v>42</v>
      </c>
      <c r="T24" s="17">
        <v>13862</v>
      </c>
      <c r="U24" s="17">
        <v>23.982698961937718</v>
      </c>
      <c r="V24" s="17">
        <v>67.454987834549883</v>
      </c>
      <c r="W24" s="17">
        <v>5.9882153718551288E-2</v>
      </c>
      <c r="X24" s="17"/>
      <c r="Y24" s="17" t="s">
        <v>42</v>
      </c>
      <c r="Z24" s="17">
        <v>21989</v>
      </c>
      <c r="AA24" s="17">
        <v>29.163129973474803</v>
      </c>
      <c r="AB24" s="17">
        <v>100.4981718464351</v>
      </c>
      <c r="AC24" s="17">
        <v>7.0368402862226551E-2</v>
      </c>
      <c r="AD24" s="17"/>
      <c r="AE24" s="17" t="s">
        <v>42</v>
      </c>
      <c r="AF24" s="17">
        <v>10232</v>
      </c>
      <c r="AG24" s="17">
        <v>30.362017804154302</v>
      </c>
      <c r="AH24" s="17">
        <v>86.78541136556403</v>
      </c>
      <c r="AI24" s="17">
        <v>9.0964856911711106E-2</v>
      </c>
      <c r="AJ24" s="17"/>
      <c r="AK24" s="17" t="s">
        <v>42</v>
      </c>
      <c r="AL24" s="17">
        <v>15264</v>
      </c>
      <c r="AM24" s="17">
        <v>42.165745856353588</v>
      </c>
      <c r="AN24" s="17">
        <v>115.54882664647994</v>
      </c>
      <c r="AO24" s="17">
        <v>0.12518247576557809</v>
      </c>
    </row>
    <row r="25" spans="1:41" x14ac:dyDescent="0.25">
      <c r="A25" t="s">
        <v>38</v>
      </c>
      <c r="B25" s="6">
        <f>Calculator!I19</f>
        <v>23</v>
      </c>
      <c r="I25" s="14"/>
      <c r="S25" s="17" t="s">
        <v>43</v>
      </c>
      <c r="T25" s="17">
        <v>143307</v>
      </c>
      <c r="U25" s="17">
        <v>247.93598615916954</v>
      </c>
      <c r="V25" s="17">
        <v>697.35766423357666</v>
      </c>
      <c r="W25" s="17">
        <v>0.6190688070223942</v>
      </c>
      <c r="X25" s="17"/>
      <c r="Y25" s="17" t="s">
        <v>43</v>
      </c>
      <c r="Z25" s="17">
        <v>166471</v>
      </c>
      <c r="AA25" s="17">
        <v>220.78381962864722</v>
      </c>
      <c r="AB25" s="17">
        <v>760.83638025594144</v>
      </c>
      <c r="AC25" s="17">
        <v>0.53273447600517143</v>
      </c>
      <c r="AD25" s="17"/>
      <c r="AE25" s="17" t="s">
        <v>43</v>
      </c>
      <c r="AF25" s="17">
        <v>61379</v>
      </c>
      <c r="AG25" s="17">
        <v>182.13353115727003</v>
      </c>
      <c r="AH25" s="17">
        <v>520.60220525869374</v>
      </c>
      <c r="AI25" s="17">
        <v>0.54567356845034365</v>
      </c>
      <c r="AJ25" s="17"/>
      <c r="AK25" s="17" t="s">
        <v>43</v>
      </c>
      <c r="AL25" s="17">
        <v>62940</v>
      </c>
      <c r="AM25" s="17">
        <v>173.86740331491714</v>
      </c>
      <c r="AN25" s="17">
        <v>476.45722937168813</v>
      </c>
      <c r="AO25" s="17">
        <v>0.51618088474092538</v>
      </c>
    </row>
    <row r="26" spans="1:41" x14ac:dyDescent="0.25">
      <c r="A26" t="s">
        <v>39</v>
      </c>
      <c r="B26" s="6">
        <f>Calculator!I20</f>
        <v>43</v>
      </c>
      <c r="I26" s="14"/>
      <c r="S26" s="17" t="s">
        <v>44</v>
      </c>
      <c r="T26" s="17">
        <v>1655</v>
      </c>
      <c r="U26" s="17">
        <v>2.8633217993079585</v>
      </c>
      <c r="V26" s="17">
        <v>8.0535279805352804</v>
      </c>
      <c r="W26" s="17">
        <v>7.14939867293337E-3</v>
      </c>
      <c r="X26" s="17"/>
      <c r="Y26" s="17" t="s">
        <v>44</v>
      </c>
      <c r="Z26" s="17">
        <v>56272</v>
      </c>
      <c r="AA26" s="17">
        <v>74.631299734748012</v>
      </c>
      <c r="AB26" s="17">
        <v>257.18464351005485</v>
      </c>
      <c r="AC26" s="17">
        <v>0.18007962007654793</v>
      </c>
      <c r="AD26" s="17"/>
      <c r="AE26" s="17" t="s">
        <v>44</v>
      </c>
      <c r="AF26" s="17">
        <v>430</v>
      </c>
      <c r="AG26" s="17">
        <v>1.2759643916913948</v>
      </c>
      <c r="AH26" s="17">
        <v>3.64715860899067</v>
      </c>
      <c r="AI26" s="17">
        <v>3.8227998897611194E-3</v>
      </c>
      <c r="AJ26" s="17"/>
      <c r="AK26" s="17" t="s">
        <v>44</v>
      </c>
      <c r="AL26" s="17">
        <v>1786</v>
      </c>
      <c r="AM26" s="17">
        <v>4.9337016574585633</v>
      </c>
      <c r="AN26" s="17">
        <v>13.520060560181681</v>
      </c>
      <c r="AO26" s="17">
        <v>1.4647268194269031E-2</v>
      </c>
    </row>
    <row r="27" spans="1:41" x14ac:dyDescent="0.25">
      <c r="A27" t="s">
        <v>69</v>
      </c>
      <c r="B27" s="6">
        <f>Calculator!I21</f>
        <v>193</v>
      </c>
      <c r="S27" s="17" t="s">
        <v>45</v>
      </c>
      <c r="T27" s="17">
        <v>10436</v>
      </c>
      <c r="U27" s="17">
        <v>18.055363321799309</v>
      </c>
      <c r="V27" s="17">
        <v>50.783454987834553</v>
      </c>
      <c r="W27" s="17">
        <v>4.5082250483826372E-2</v>
      </c>
      <c r="X27" s="17"/>
      <c r="Y27" s="17" t="s">
        <v>45</v>
      </c>
      <c r="Z27" s="17">
        <v>27299</v>
      </c>
      <c r="AA27" s="17">
        <v>36.205570291777185</v>
      </c>
      <c r="AB27" s="17">
        <v>124.76691042047531</v>
      </c>
      <c r="AC27" s="17">
        <v>8.736127289717234E-2</v>
      </c>
      <c r="AD27" s="17"/>
      <c r="AE27" s="17" t="s">
        <v>45</v>
      </c>
      <c r="AF27" s="17">
        <v>6019</v>
      </c>
      <c r="AG27" s="17">
        <v>17.86053412462908</v>
      </c>
      <c r="AH27" s="17">
        <v>51.051738761662421</v>
      </c>
      <c r="AI27" s="17">
        <v>5.3510308224353903E-2</v>
      </c>
      <c r="AJ27" s="17"/>
      <c r="AK27" s="17" t="s">
        <v>45</v>
      </c>
      <c r="AL27" s="17">
        <v>11031</v>
      </c>
      <c r="AM27" s="17">
        <v>30.472375690607734</v>
      </c>
      <c r="AN27" s="17">
        <v>83.504920514761551</v>
      </c>
      <c r="AO27" s="17">
        <v>9.0466973936719861E-2</v>
      </c>
    </row>
    <row r="28" spans="1:41" x14ac:dyDescent="0.25">
      <c r="M28" s="112"/>
      <c r="S28" s="17" t="s">
        <v>46</v>
      </c>
      <c r="T28" s="17">
        <v>9164</v>
      </c>
      <c r="U28" s="17">
        <v>15.854671280276817</v>
      </c>
      <c r="V28" s="17">
        <v>44.593673965936738</v>
      </c>
      <c r="W28" s="17">
        <v>3.958736521979541E-2</v>
      </c>
      <c r="X28" s="17"/>
      <c r="Y28" s="17" t="s">
        <v>46</v>
      </c>
      <c r="Z28" s="17">
        <v>8025</v>
      </c>
      <c r="AA28" s="17">
        <v>10.643236074270558</v>
      </c>
      <c r="AB28" s="17">
        <v>36.677330895795244</v>
      </c>
      <c r="AC28" s="17">
        <v>2.5681314883322027E-2</v>
      </c>
      <c r="AD28" s="17"/>
      <c r="AE28" s="17" t="s">
        <v>46</v>
      </c>
      <c r="AF28" s="17">
        <v>3494</v>
      </c>
      <c r="AG28" s="17">
        <v>10.367952522255193</v>
      </c>
      <c r="AH28" s="17">
        <v>29.635284139100932</v>
      </c>
      <c r="AI28" s="17">
        <v>3.1062471662384537E-2</v>
      </c>
      <c r="AJ28" s="17"/>
      <c r="AK28" s="17" t="s">
        <v>46</v>
      </c>
      <c r="AL28" s="17">
        <v>4665</v>
      </c>
      <c r="AM28" s="17">
        <v>12.886740331491712</v>
      </c>
      <c r="AN28" s="17">
        <v>35.314155942467828</v>
      </c>
      <c r="AO28" s="17">
        <v>3.8258402086374599E-2</v>
      </c>
    </row>
    <row r="29" spans="1:41" x14ac:dyDescent="0.25">
      <c r="A29" s="13" t="s">
        <v>120</v>
      </c>
      <c r="B29" s="8"/>
      <c r="C29" s="8"/>
      <c r="D29" s="8"/>
      <c r="E29" s="8"/>
      <c r="F29" s="8"/>
      <c r="K29" s="4"/>
      <c r="L29" s="4"/>
      <c r="M29" s="95"/>
      <c r="S29" s="17" t="s">
        <v>47</v>
      </c>
      <c r="T29" s="17">
        <v>40949</v>
      </c>
      <c r="U29" s="17">
        <v>70.846020761245668</v>
      </c>
      <c r="V29" s="17">
        <v>199.26520681265208</v>
      </c>
      <c r="W29" s="17">
        <v>0.17689469864528615</v>
      </c>
      <c r="X29" s="17"/>
      <c r="Y29" s="17" t="s">
        <v>47</v>
      </c>
      <c r="Z29" s="17">
        <v>51131</v>
      </c>
      <c r="AA29" s="17">
        <v>67.812997347480106</v>
      </c>
      <c r="AB29" s="17">
        <v>233.68829981718463</v>
      </c>
      <c r="AC29" s="17">
        <v>0.16362757773197989</v>
      </c>
      <c r="AD29" s="17"/>
      <c r="AE29" s="17" t="s">
        <v>47</v>
      </c>
      <c r="AF29" s="17">
        <v>25560</v>
      </c>
      <c r="AG29" s="17">
        <v>75.845697329376861</v>
      </c>
      <c r="AH29" s="17">
        <v>216.79389312977099</v>
      </c>
      <c r="AI29" s="17">
        <v>0.22723433763324236</v>
      </c>
      <c r="AJ29" s="17"/>
      <c r="AK29" s="17" t="s">
        <v>47</v>
      </c>
      <c r="AL29" s="17">
        <v>30369</v>
      </c>
      <c r="AM29" s="17">
        <v>83.892265193370164</v>
      </c>
      <c r="AN29" s="17">
        <v>229.89401968205905</v>
      </c>
      <c r="AO29" s="17">
        <v>0.24906096740859809</v>
      </c>
    </row>
    <row r="30" spans="1:41" x14ac:dyDescent="0.25">
      <c r="J30" s="21" t="s">
        <v>72</v>
      </c>
      <c r="K30" s="21" t="s">
        <v>101</v>
      </c>
      <c r="L30" s="21" t="s">
        <v>98</v>
      </c>
      <c r="M30" s="21" t="s">
        <v>102</v>
      </c>
      <c r="S30" s="17" t="s">
        <v>49</v>
      </c>
      <c r="T30" s="17">
        <v>69649</v>
      </c>
      <c r="U30" s="17">
        <v>120.5</v>
      </c>
      <c r="V30" s="17">
        <v>338.92457420924575</v>
      </c>
      <c r="W30" s="17">
        <v>0.3008752073541609</v>
      </c>
      <c r="X30" s="17"/>
      <c r="Y30" s="17" t="s">
        <v>49</v>
      </c>
      <c r="Z30" s="17">
        <v>81755</v>
      </c>
      <c r="AA30" s="17">
        <v>108.42838196286472</v>
      </c>
      <c r="AB30" s="17">
        <v>373.65173674588664</v>
      </c>
      <c r="AC30" s="17">
        <v>0.26162939542504576</v>
      </c>
      <c r="AD30" s="17"/>
      <c r="AE30" s="17" t="s">
        <v>49</v>
      </c>
      <c r="AF30" s="17">
        <v>35936</v>
      </c>
      <c r="AG30" s="17">
        <v>106.63501483679525</v>
      </c>
      <c r="AH30" s="17">
        <v>304.80067854113656</v>
      </c>
      <c r="AI30" s="17">
        <v>0.31947938799640835</v>
      </c>
      <c r="AJ30" s="17"/>
      <c r="AK30" s="17" t="s">
        <v>49</v>
      </c>
      <c r="AL30" s="17">
        <v>44550</v>
      </c>
      <c r="AM30" s="17">
        <v>123.06629834254143</v>
      </c>
      <c r="AN30" s="17">
        <v>337.24451173353521</v>
      </c>
      <c r="AO30" s="17">
        <v>0.36536158905637478</v>
      </c>
    </row>
    <row r="31" spans="1:41" x14ac:dyDescent="0.25">
      <c r="A31" s="20" t="s">
        <v>118</v>
      </c>
      <c r="B31" s="33" t="s">
        <v>1</v>
      </c>
      <c r="C31" s="33" t="s">
        <v>3</v>
      </c>
      <c r="D31" s="33" t="s">
        <v>4</v>
      </c>
      <c r="E31" s="33" t="s">
        <v>5</v>
      </c>
      <c r="F31" s="33" t="s">
        <v>33</v>
      </c>
      <c r="J31" s="95">
        <f>IF(Calculator!I21=0,0,IF(Calculator!$I$7="jersey",'Calculations-Hide'!K23,IF(Calculator!$I$7="fr x j",'Calculations-Hide'!L23,IF(Calculator!$I$7="friesian",'Calculations-Hide'!M23,"Does not recognise breed"))))</f>
        <v>348.11276284083692</v>
      </c>
      <c r="K31" s="95">
        <f>('Growth Rates-Hide'!C15+'Growth Rates-Hide'!C16+'Growth Rates-Hide'!C17+'Growth Rates-Hide'!C18+'Growth Rates-Hide'!C19+'Growth Rates-Hide'!C20)/7</f>
        <v>25.857142857142858</v>
      </c>
      <c r="L31" s="95">
        <f>J31/K31</f>
        <v>13.462924529756124</v>
      </c>
      <c r="M31" s="95">
        <f>L31/((IF(Calculator!$I$7="Friesian",4.57,(IF(Calculator!$I$7="Jersey",3.36,(IF(Calculator!$I$7="Fr x J",4.31)))))))</f>
        <v>4.0068227767131326</v>
      </c>
      <c r="S31" s="17" t="s">
        <v>50</v>
      </c>
      <c r="T31" s="17">
        <v>13133</v>
      </c>
      <c r="U31" s="17">
        <v>22.721453287197232</v>
      </c>
      <c r="V31" s="17">
        <v>63.907542579075425</v>
      </c>
      <c r="W31" s="17">
        <v>5.6732962399778819E-2</v>
      </c>
      <c r="X31" s="17"/>
      <c r="Y31" s="17" t="s">
        <v>50</v>
      </c>
      <c r="Z31" s="17">
        <v>12625</v>
      </c>
      <c r="AA31" s="17">
        <v>16.744031830238725</v>
      </c>
      <c r="AB31" s="17">
        <v>57.701096892138935</v>
      </c>
      <c r="AC31" s="17">
        <v>4.0402068585911596E-2</v>
      </c>
      <c r="AD31" s="17"/>
      <c r="AE31" s="17" t="s">
        <v>50</v>
      </c>
      <c r="AF31" s="17">
        <v>5623</v>
      </c>
      <c r="AG31" s="17">
        <v>16.685459940652819</v>
      </c>
      <c r="AH31" s="17">
        <v>47.692960135708226</v>
      </c>
      <c r="AI31" s="17">
        <v>4.9989776232852966E-2</v>
      </c>
      <c r="AJ31" s="17"/>
      <c r="AK31" s="17" t="s">
        <v>50</v>
      </c>
      <c r="AL31" s="17">
        <v>8362</v>
      </c>
      <c r="AM31" s="17">
        <v>23.099447513812155</v>
      </c>
      <c r="AN31" s="17">
        <v>63.300529901589705</v>
      </c>
      <c r="AO31" s="17">
        <v>6.8578083225351416E-2</v>
      </c>
    </row>
    <row r="32" spans="1:41" x14ac:dyDescent="0.25">
      <c r="A32" s="7" t="s">
        <v>36</v>
      </c>
      <c r="B32" s="27">
        <f>INDEX($U$11:$U$48,MATCH($A32,$S$11:$S$48,0))</f>
        <v>81.659169550173004</v>
      </c>
      <c r="C32" s="27">
        <f>INDEX($AA$11:$AA$48,MATCH($A32,$S$11:$S$48,0))</f>
        <v>99.778514588859423</v>
      </c>
      <c r="D32" s="27">
        <f>INDEX($AG$11:$AG$48,MATCH($A32,$S$11:$S$48,0))</f>
        <v>94.201780415430264</v>
      </c>
      <c r="E32" s="27">
        <f>INDEX($AM$11:$AM$48,MATCH($A32,$S$11:$S$48,0))</f>
        <v>80.685082872928177</v>
      </c>
      <c r="F32" s="27">
        <v>80</v>
      </c>
      <c r="J32" s="95">
        <f>IF(Calculator!I21=0,0,IF(Calculator!$I$7="jersey",'Calculations-Hide'!N23,IF(Calculator!$I$7="fr x j",'Calculations-Hide'!O23,IF(Calculator!$I$7="friesian",'Calculations-Hide'!P23,"Does not recognise breed"))))</f>
        <v>939.61818646546055</v>
      </c>
      <c r="K32" s="95">
        <f>SUM('Growth Rates-Hide'!C21:C32)/7</f>
        <v>52.142857142857146</v>
      </c>
      <c r="L32" s="95">
        <f>J32/K32</f>
        <v>18.02007480892664</v>
      </c>
      <c r="M32" s="95">
        <f>L32/((IF(Calculator!$I$7="Friesian",4.57,(IF(Calculator!$I$7="Jersey",3.82,(IF(Calculator!$I$7="Fr x J",4.21)))))))</f>
        <v>4.7172970703996446</v>
      </c>
      <c r="S32" s="17" t="s">
        <v>51</v>
      </c>
      <c r="T32" s="17">
        <v>25219</v>
      </c>
      <c r="U32" s="17">
        <v>43.631487889273359</v>
      </c>
      <c r="V32" s="17">
        <v>122.72019464720195</v>
      </c>
      <c r="W32" s="17">
        <v>0.10894301216477743</v>
      </c>
      <c r="X32" s="17"/>
      <c r="Y32" s="17" t="s">
        <v>51</v>
      </c>
      <c r="Z32" s="17">
        <v>29606</v>
      </c>
      <c r="AA32" s="17">
        <v>39.265251989389924</v>
      </c>
      <c r="AB32" s="17">
        <v>135.31078610603291</v>
      </c>
      <c r="AC32" s="17">
        <v>9.4744050895405843E-2</v>
      </c>
      <c r="AD32" s="17"/>
      <c r="AE32" s="17" t="s">
        <v>51</v>
      </c>
      <c r="AF32" s="17">
        <v>14232</v>
      </c>
      <c r="AG32" s="17">
        <v>42.231454005934715</v>
      </c>
      <c r="AH32" s="17">
        <v>120.71246819338421</v>
      </c>
      <c r="AI32" s="17">
        <v>0.12652578611879128</v>
      </c>
      <c r="AJ32" s="17"/>
      <c r="AK32" s="17" t="s">
        <v>51</v>
      </c>
      <c r="AL32" s="17">
        <v>27226</v>
      </c>
      <c r="AM32" s="17">
        <v>75.209944751381215</v>
      </c>
      <c r="AN32" s="17">
        <v>206.10143830431491</v>
      </c>
      <c r="AO32" s="17">
        <v>0.22328472780356587</v>
      </c>
    </row>
    <row r="33" spans="1:41" x14ac:dyDescent="0.25">
      <c r="A33" s="7" t="s">
        <v>37</v>
      </c>
      <c r="B33" s="27">
        <f>INDEX($U$11:$U$48,MATCH($A33,$S$11:$S$48,0))</f>
        <v>54.437716262975776</v>
      </c>
      <c r="C33" s="27">
        <f>INDEX($AA$11:$AA$48,MATCH($A33,$S$11:$S$48,0))</f>
        <v>50.622015915119363</v>
      </c>
      <c r="D33" s="27">
        <f>INDEX($AG$11:$AG$48,MATCH($A33,$S$11:$S$48,0))</f>
        <v>49.593471810089021</v>
      </c>
      <c r="E33" s="27">
        <f>INDEX($AM$11:$AM$48,MATCH($A33,$S$11:$S$48,0))</f>
        <v>58.535911602209943</v>
      </c>
      <c r="F33" s="27">
        <v>45</v>
      </c>
      <c r="J33" s="95">
        <f>IF(Calculator!$I$7="jersey",'Calculations-Hide'!K17,IF(Calculator!$I$7="fr x j",'Calculations-Hide'!L17,IF(Calculator!$I$7="friesian",'Calculations-Hide'!M17,"Does not recognise breed")))</f>
        <v>342.24203232424071</v>
      </c>
      <c r="K33" s="95">
        <f>('Growth Rates-Hide'!C15+'Growth Rates-Hide'!C16+'Growth Rates-Hide'!C17+'Growth Rates-Hide'!C18+'Growth Rates-Hide'!C19+'Growth Rates-Hide'!C20)/7</f>
        <v>25.857142857142858</v>
      </c>
      <c r="L33" s="95">
        <f>J33/K33</f>
        <v>13.235879703147431</v>
      </c>
      <c r="M33" s="95">
        <f>L33/((IF(Calculator!$I$7="Friesian",4.44,(IF(Calculator!$I$7="Jersey",3.82,(IF(Calculator!$I$7="Fr x J",4.21)))))))</f>
        <v>3.4648899746459243</v>
      </c>
      <c r="S33" s="17" t="s">
        <v>52</v>
      </c>
      <c r="T33" s="17">
        <v>12987</v>
      </c>
      <c r="U33" s="17">
        <v>22.468858131487888</v>
      </c>
      <c r="V33" s="17">
        <v>63.197080291970806</v>
      </c>
      <c r="W33" s="17">
        <v>5.6102260160353884E-2</v>
      </c>
      <c r="X33" s="17"/>
      <c r="Y33" s="17" t="s">
        <v>52</v>
      </c>
      <c r="Z33" s="17">
        <v>17130</v>
      </c>
      <c r="AA33" s="17">
        <v>22.718832891246684</v>
      </c>
      <c r="AB33" s="17">
        <v>78.290676416819011</v>
      </c>
      <c r="AC33" s="17">
        <v>5.4818806722904213E-2</v>
      </c>
      <c r="AD33" s="17"/>
      <c r="AE33" s="17" t="s">
        <v>52</v>
      </c>
      <c r="AF33" s="17">
        <v>6904</v>
      </c>
      <c r="AG33" s="17">
        <v>20.486646884272997</v>
      </c>
      <c r="AH33" s="17">
        <v>58.558100084817639</v>
      </c>
      <c r="AI33" s="17">
        <v>6.1378163811420396E-2</v>
      </c>
      <c r="AJ33" s="17"/>
      <c r="AK33" s="17" t="s">
        <v>52</v>
      </c>
      <c r="AL33" s="17">
        <v>8837</v>
      </c>
      <c r="AM33" s="17">
        <v>24.41160220994475</v>
      </c>
      <c r="AN33" s="17">
        <v>66.896290688872071</v>
      </c>
      <c r="AO33" s="17">
        <v>7.2473633277018709E-2</v>
      </c>
    </row>
    <row r="34" spans="1:41" x14ac:dyDescent="0.25">
      <c r="A34" s="7" t="s">
        <v>38</v>
      </c>
      <c r="B34" s="27">
        <f>INDEX($U$11:$U$48,MATCH($A34,$S$11:$S$48,0))</f>
        <v>28.610726643598618</v>
      </c>
      <c r="C34" s="27">
        <f>INDEX($AA$11:$AA$48,MATCH($A34,$S$11:$S$48,0))</f>
        <v>27.064986737400531</v>
      </c>
      <c r="D34" s="27">
        <f>INDEX($AG$11:$AG$48,MATCH($A34,$S$11:$S$48,0))</f>
        <v>26.584569732937684</v>
      </c>
      <c r="E34" s="27">
        <f>INDEX($AM$11:$AM$48,MATCH($A34,$S$11:$S$48,0))</f>
        <v>18.740331491712706</v>
      </c>
      <c r="F34" s="27">
        <v>25</v>
      </c>
      <c r="J34" s="95">
        <f>IF(Calculator!$I$7="jersey",'Calculations-Hide'!N17,IF(Calculator!$I$7="fr x j",'Calculations-Hide'!O17,IF(Calculator!$I$7="friesian",'Calculations-Hide'!P17,"Does not recognise breed")))</f>
        <v>923.77204191099133</v>
      </c>
      <c r="K34" s="95">
        <f>SUM('Growth Rates-Hide'!C21:C32)/7</f>
        <v>52.142857142857146</v>
      </c>
      <c r="L34" s="95">
        <f>J34/K34</f>
        <v>17.71617614623819</v>
      </c>
      <c r="M34" s="95">
        <f>L34/((IF(Calculator!$I$7="Friesian",4.44,(IF(Calculator!$I$7="Jersey",3.82,(IF(Calculator!$I$7="Fr x J",4.21)))))))</f>
        <v>4.6377424466592121</v>
      </c>
      <c r="S34" s="17" t="s">
        <v>53</v>
      </c>
      <c r="T34" s="17">
        <v>6037</v>
      </c>
      <c r="U34" s="17">
        <v>10.444636678200691</v>
      </c>
      <c r="V34" s="17">
        <v>29.37712895377129</v>
      </c>
      <c r="W34" s="17">
        <v>2.6079105612385956E-2</v>
      </c>
      <c r="X34" s="17"/>
      <c r="Y34" s="17" t="s">
        <v>53</v>
      </c>
      <c r="Z34" s="17">
        <v>7340</v>
      </c>
      <c r="AA34" s="17">
        <v>9.7347480106100797</v>
      </c>
      <c r="AB34" s="17">
        <v>33.546617915904932</v>
      </c>
      <c r="AC34" s="17">
        <v>2.3489202647175536E-2</v>
      </c>
      <c r="AD34" s="17"/>
      <c r="AE34" s="17" t="s">
        <v>53</v>
      </c>
      <c r="AF34" s="17">
        <v>2885</v>
      </c>
      <c r="AG34" s="17">
        <v>8.560830860534125</v>
      </c>
      <c r="AH34" s="17">
        <v>24.469889737065309</v>
      </c>
      <c r="AI34" s="17">
        <v>2.5648320190606581E-2</v>
      </c>
      <c r="AJ34" s="17"/>
      <c r="AK34" s="17" t="s">
        <v>53</v>
      </c>
      <c r="AL34" s="17">
        <v>2218</v>
      </c>
      <c r="AM34" s="17">
        <v>6.1270718232044201</v>
      </c>
      <c r="AN34" s="17">
        <v>16.790310370931113</v>
      </c>
      <c r="AO34" s="17">
        <v>1.8190168451785393E-2</v>
      </c>
    </row>
    <row r="35" spans="1:41" x14ac:dyDescent="0.25">
      <c r="A35" s="7" t="s">
        <v>39</v>
      </c>
      <c r="B35" s="27">
        <f>INDEX($U$11:$U$48,MATCH($A35,$S$11:$S$48,0))</f>
        <v>38.219723183391004</v>
      </c>
      <c r="C35" s="27">
        <f>INDEX($AA$11:$AA$48,MATCH($A35,$S$11:$S$48,0))</f>
        <v>49.370026525198938</v>
      </c>
      <c r="D35" s="27">
        <f>INDEX($AG$11:$AG$48,MATCH($A35,$S$11:$S$48,0))</f>
        <v>36.955489614243326</v>
      </c>
      <c r="E35" s="27">
        <f>INDEX($AM$11:$AM$48,MATCH($A35,$S$11:$S$48,0))</f>
        <v>45.839779005524861</v>
      </c>
      <c r="F35" s="27">
        <v>37</v>
      </c>
      <c r="S35" s="17" t="s">
        <v>54</v>
      </c>
      <c r="T35" s="17">
        <v>14866</v>
      </c>
      <c r="U35" s="17">
        <v>25.719723183391004</v>
      </c>
      <c r="V35" s="17">
        <v>72.34063260340632</v>
      </c>
      <c r="W35" s="17">
        <v>6.4219311584185784E-2</v>
      </c>
      <c r="X35" s="17"/>
      <c r="Y35" s="17" t="s">
        <v>54</v>
      </c>
      <c r="Z35" s="17">
        <v>15507</v>
      </c>
      <c r="AA35" s="17">
        <v>20.566312997347481</v>
      </c>
      <c r="AB35" s="17">
        <v>70.872943327239483</v>
      </c>
      <c r="AC35" s="17">
        <v>4.9624940796968803E-2</v>
      </c>
      <c r="AD35" s="17"/>
      <c r="AE35" s="17" t="s">
        <v>54</v>
      </c>
      <c r="AF35" s="17">
        <v>14558</v>
      </c>
      <c r="AG35" s="17">
        <v>43.198813056379819</v>
      </c>
      <c r="AH35" s="17">
        <v>123.47752332485156</v>
      </c>
      <c r="AI35" s="17">
        <v>0.12942400184916833</v>
      </c>
      <c r="AJ35" s="17"/>
      <c r="AK35" s="17" t="s">
        <v>54</v>
      </c>
      <c r="AL35" s="17">
        <v>14676</v>
      </c>
      <c r="AM35" s="17">
        <v>40.541436464088399</v>
      </c>
      <c r="AN35" s="17">
        <v>111.09765329295989</v>
      </c>
      <c r="AO35" s="17">
        <v>0.12036019485951416</v>
      </c>
    </row>
    <row r="36" spans="1:41" x14ac:dyDescent="0.25">
      <c r="A36" s="7" t="s">
        <v>69</v>
      </c>
      <c r="B36" s="27">
        <f>SUM(B32:B35)</f>
        <v>202.92733564013841</v>
      </c>
      <c r="C36" s="27">
        <f t="shared" ref="C36:E36" si="12">SUM(C32:C35)</f>
        <v>226.83554376657824</v>
      </c>
      <c r="D36" s="27">
        <f t="shared" si="12"/>
        <v>207.33531157270031</v>
      </c>
      <c r="E36" s="27">
        <f t="shared" si="12"/>
        <v>203.8011049723757</v>
      </c>
      <c r="F36" s="27">
        <f t="shared" ref="F36" si="13">SUM(F32:F35)</f>
        <v>187</v>
      </c>
      <c r="S36" s="17" t="s">
        <v>55</v>
      </c>
      <c r="T36" s="17">
        <v>944121</v>
      </c>
      <c r="U36" s="17">
        <v>1633.4273356401379</v>
      </c>
      <c r="V36" s="17">
        <v>4594.2627737226285</v>
      </c>
      <c r="W36" s="17">
        <v>4.0784878697815863</v>
      </c>
      <c r="X36" s="17"/>
      <c r="Y36" s="17" t="s">
        <v>55</v>
      </c>
      <c r="Z36" s="17">
        <v>1308586</v>
      </c>
      <c r="AA36" s="17">
        <v>1735.5251989389919</v>
      </c>
      <c r="AB36" s="17">
        <v>5980.7404021937837</v>
      </c>
      <c r="AC36" s="17">
        <v>4.1876896097080172</v>
      </c>
      <c r="AD36" s="17"/>
      <c r="AE36" s="17" t="s">
        <v>55</v>
      </c>
      <c r="AF36" s="17">
        <v>495044</v>
      </c>
      <c r="AG36" s="17">
        <v>1468.973293768546</v>
      </c>
      <c r="AH36" s="17">
        <v>4198.8464800678539</v>
      </c>
      <c r="AI36" s="17">
        <v>4.4010561595974513</v>
      </c>
      <c r="AJ36" s="17"/>
      <c r="AK36" s="17" t="s">
        <v>55</v>
      </c>
      <c r="AL36" s="17">
        <v>538967</v>
      </c>
      <c r="AM36" s="17">
        <v>1488.8591160220994</v>
      </c>
      <c r="AN36" s="17">
        <v>4079.9924299772902</v>
      </c>
      <c r="AO36" s="17">
        <v>4.4201535256778257</v>
      </c>
    </row>
    <row r="37" spans="1:41" x14ac:dyDescent="0.25">
      <c r="J37" s="141" t="s">
        <v>99</v>
      </c>
      <c r="K37" s="95">
        <f>J33/K33</f>
        <v>13.235879703147431</v>
      </c>
      <c r="S37" s="17" t="s">
        <v>56</v>
      </c>
      <c r="T37" s="17">
        <v>544360</v>
      </c>
      <c r="U37" s="17">
        <v>941.79930795847827</v>
      </c>
      <c r="V37" s="17">
        <v>2648.9537712895362</v>
      </c>
      <c r="W37" s="17">
        <v>2.3515689798175288</v>
      </c>
      <c r="X37" s="17"/>
      <c r="Y37" s="17" t="s">
        <v>56</v>
      </c>
      <c r="Z37" s="17">
        <v>804631</v>
      </c>
      <c r="AA37" s="17">
        <v>1067.1498673740055</v>
      </c>
      <c r="AB37" s="17">
        <v>3677.4725776965261</v>
      </c>
      <c r="AC37" s="17">
        <v>2.5749510374931193</v>
      </c>
      <c r="AD37" s="17"/>
      <c r="AE37" s="17" t="s">
        <v>56</v>
      </c>
      <c r="AF37" s="17">
        <v>280856</v>
      </c>
      <c r="AG37" s="17">
        <v>833.40059347181</v>
      </c>
      <c r="AH37" s="17">
        <v>2382.1543681085668</v>
      </c>
      <c r="AI37" s="17">
        <v>2.4968750833459268</v>
      </c>
      <c r="AJ37" s="17"/>
      <c r="AK37" s="17" t="s">
        <v>56</v>
      </c>
      <c r="AL37" s="17">
        <v>301549</v>
      </c>
      <c r="AM37" s="17">
        <v>833.00828729281784</v>
      </c>
      <c r="AN37" s="17">
        <v>2282.732778198334</v>
      </c>
      <c r="AO37" s="17">
        <v>2.4730509948004666</v>
      </c>
    </row>
    <row r="38" spans="1:41" x14ac:dyDescent="0.25">
      <c r="A38" s="1" t="s">
        <v>130</v>
      </c>
      <c r="J38" s="1" t="s">
        <v>165</v>
      </c>
      <c r="K38" s="64">
        <f>'Calculations-Hide'!K37/((IF(Calculator!$I$7="Friesian",4.57,(IF(Calculator!$I$7="Jersey",3.36,(IF(Calculator!$I$7="Fr x J",4.31)))))))</f>
        <v>3.9392499116510211</v>
      </c>
      <c r="S38" s="17" t="s">
        <v>57</v>
      </c>
      <c r="T38" s="17"/>
      <c r="U38" s="17"/>
      <c r="V38" s="17"/>
      <c r="W38" s="17"/>
      <c r="X38" s="17"/>
      <c r="Y38" s="17" t="s">
        <v>57</v>
      </c>
      <c r="Z38" s="17"/>
      <c r="AA38" s="17"/>
      <c r="AB38" s="17"/>
      <c r="AC38" s="17"/>
      <c r="AD38" s="17"/>
      <c r="AE38" s="17" t="s">
        <v>57</v>
      </c>
      <c r="AF38" s="17"/>
      <c r="AG38" s="17"/>
      <c r="AH38" s="17"/>
      <c r="AI38" s="17"/>
      <c r="AJ38" s="17"/>
      <c r="AK38" s="17" t="s">
        <v>57</v>
      </c>
      <c r="AL38" s="17"/>
      <c r="AM38" s="17"/>
      <c r="AN38" s="17"/>
      <c r="AO38" s="17"/>
    </row>
    <row r="39" spans="1:41" x14ac:dyDescent="0.25">
      <c r="S39" s="17" t="s">
        <v>58</v>
      </c>
      <c r="T39" s="17">
        <v>73841</v>
      </c>
      <c r="U39" s="17">
        <v>127.75259515570934</v>
      </c>
      <c r="V39" s="17">
        <v>359.32360097323601</v>
      </c>
      <c r="W39" s="17">
        <v>0.31898413740669063</v>
      </c>
      <c r="X39" s="17"/>
      <c r="Y39" s="17" t="s">
        <v>58</v>
      </c>
      <c r="Z39" s="17">
        <v>38194</v>
      </c>
      <c r="AA39" s="17">
        <v>50.655172413793103</v>
      </c>
      <c r="AB39" s="17">
        <v>174.56124314442411</v>
      </c>
      <c r="AC39" s="17">
        <v>0.1222270580253709</v>
      </c>
      <c r="AD39" s="17"/>
      <c r="AE39" s="17" t="s">
        <v>58</v>
      </c>
      <c r="AF39" s="17">
        <v>14127</v>
      </c>
      <c r="AG39" s="17">
        <v>41.919881305637979</v>
      </c>
      <c r="AH39" s="17">
        <v>119.82188295165393</v>
      </c>
      <c r="AI39" s="17">
        <v>0.12559231172710542</v>
      </c>
      <c r="AJ39" s="17"/>
      <c r="AK39" s="17" t="s">
        <v>58</v>
      </c>
      <c r="AL39" s="17">
        <v>-6742</v>
      </c>
      <c r="AM39" s="17">
        <v>-18.624309392265193</v>
      </c>
      <c r="AN39" s="17">
        <v>-51.037093111279333</v>
      </c>
      <c r="AO39" s="17">
        <v>-5.5292207259665063E-2</v>
      </c>
    </row>
    <row r="40" spans="1:41" x14ac:dyDescent="0.25">
      <c r="A40" s="20" t="s">
        <v>107</v>
      </c>
      <c r="B40" s="21" t="s">
        <v>116</v>
      </c>
      <c r="S40" s="17" t="s">
        <v>59</v>
      </c>
      <c r="T40" s="17">
        <v>70630</v>
      </c>
      <c r="U40" s="17">
        <v>122.19723183391004</v>
      </c>
      <c r="V40" s="17">
        <v>343.69829683698299</v>
      </c>
      <c r="W40" s="17">
        <v>0.3051130080176942</v>
      </c>
      <c r="X40" s="17"/>
      <c r="Y40" s="17" t="s">
        <v>59</v>
      </c>
      <c r="Z40" s="17">
        <v>50941</v>
      </c>
      <c r="AA40" s="17">
        <v>67.561007957559681</v>
      </c>
      <c r="AB40" s="17">
        <v>232.81992687385738</v>
      </c>
      <c r="AC40" s="17">
        <v>0.16301954660078596</v>
      </c>
      <c r="AD40" s="17"/>
      <c r="AE40" s="17" t="s">
        <v>59</v>
      </c>
      <c r="AF40" s="17">
        <v>46658</v>
      </c>
      <c r="AG40" s="17">
        <v>138.45103857566767</v>
      </c>
      <c r="AH40" s="17">
        <v>395.74215436810857</v>
      </c>
      <c r="AI40" s="17">
        <v>0.41480045873598675</v>
      </c>
      <c r="AJ40" s="17"/>
      <c r="AK40" s="17" t="s">
        <v>59</v>
      </c>
      <c r="AL40" s="17">
        <v>42617</v>
      </c>
      <c r="AM40" s="17">
        <v>117.72651933701657</v>
      </c>
      <c r="AN40" s="17">
        <v>322.61165783497353</v>
      </c>
      <c r="AO40" s="17">
        <v>0.34950875063558973</v>
      </c>
    </row>
    <row r="41" spans="1:41" x14ac:dyDescent="0.25">
      <c r="A41" t="s">
        <v>4</v>
      </c>
      <c r="B41" s="30">
        <f>AG13</f>
        <v>139.27893175074183</v>
      </c>
      <c r="S41" s="17" t="s">
        <v>60</v>
      </c>
      <c r="T41" s="17">
        <v>-1031</v>
      </c>
      <c r="U41" s="17">
        <v>-1.7837370242214532</v>
      </c>
      <c r="V41" s="17">
        <v>-5.0170316301703162</v>
      </c>
      <c r="W41" s="17">
        <v>-4.4537945811445948E-3</v>
      </c>
      <c r="X41" s="17"/>
      <c r="Y41" s="17" t="s">
        <v>60</v>
      </c>
      <c r="Z41" s="17">
        <v>3479</v>
      </c>
      <c r="AA41" s="17">
        <v>4.614058355437666</v>
      </c>
      <c r="AB41" s="17">
        <v>15.900365630712979</v>
      </c>
      <c r="AC41" s="17">
        <v>1.1133370028545461E-2</v>
      </c>
      <c r="AD41" s="17"/>
      <c r="AE41" s="17" t="s">
        <v>60</v>
      </c>
      <c r="AF41" s="17">
        <v>-1794</v>
      </c>
      <c r="AG41" s="17">
        <v>-5.3234421364985165</v>
      </c>
      <c r="AH41" s="17">
        <v>-15.216284987277353</v>
      </c>
      <c r="AI41" s="17">
        <v>-1.5949076749375461E-2</v>
      </c>
      <c r="AJ41" s="17"/>
      <c r="AK41" s="17" t="s">
        <v>60</v>
      </c>
      <c r="AL41" s="17">
        <v>-1781</v>
      </c>
      <c r="AM41" s="17">
        <v>-4.9198895027624312</v>
      </c>
      <c r="AN41" s="17">
        <v>-13.48221044663134</v>
      </c>
      <c r="AO41" s="17">
        <v>-1.460626240425148E-2</v>
      </c>
    </row>
    <row r="42" spans="1:41" x14ac:dyDescent="0.25">
      <c r="A42" t="s">
        <v>16</v>
      </c>
      <c r="B42" s="30">
        <f>U13</f>
        <v>31.608996539792386</v>
      </c>
      <c r="S42" s="17" t="s">
        <v>61</v>
      </c>
      <c r="T42" s="17">
        <v>40922</v>
      </c>
      <c r="U42" s="17">
        <v>70.799307958477513</v>
      </c>
      <c r="V42" s="17">
        <v>199.13381995133821</v>
      </c>
      <c r="W42" s="17">
        <v>0.17677806192977605</v>
      </c>
      <c r="X42" s="17"/>
      <c r="Y42" s="17" t="s">
        <v>61</v>
      </c>
      <c r="Z42" s="17">
        <v>41486</v>
      </c>
      <c r="AA42" s="17">
        <v>55.021220159151191</v>
      </c>
      <c r="AB42" s="17">
        <v>189.60694698354661</v>
      </c>
      <c r="AC42" s="17">
        <v>0.13276199741426761</v>
      </c>
      <c r="AD42" s="17"/>
      <c r="AE42" s="17" t="s">
        <v>61</v>
      </c>
      <c r="AF42" s="17">
        <v>2432</v>
      </c>
      <c r="AG42" s="17">
        <v>7.2166172106824922</v>
      </c>
      <c r="AH42" s="17">
        <v>20.627650551314673</v>
      </c>
      <c r="AI42" s="17">
        <v>2.1621044957904751E-2</v>
      </c>
      <c r="AJ42" s="17"/>
      <c r="AK42" s="17" t="s">
        <v>61</v>
      </c>
      <c r="AL42" s="17">
        <v>5632</v>
      </c>
      <c r="AM42" s="17">
        <v>15.558011049723756</v>
      </c>
      <c r="AN42" s="17">
        <v>42.634367903103708</v>
      </c>
      <c r="AO42" s="17">
        <v>4.6188921875768861E-2</v>
      </c>
    </row>
    <row r="43" spans="1:41" x14ac:dyDescent="0.25">
      <c r="A43" t="s">
        <v>95</v>
      </c>
      <c r="B43" s="26">
        <v>120</v>
      </c>
      <c r="S43" s="17" t="s">
        <v>62</v>
      </c>
      <c r="T43" s="17">
        <v>96386</v>
      </c>
      <c r="U43" s="17">
        <v>166.75778546712803</v>
      </c>
      <c r="V43" s="17">
        <v>469.0316301703163</v>
      </c>
      <c r="W43" s="17">
        <v>0.41637579485761683</v>
      </c>
      <c r="X43" s="17"/>
      <c r="Y43" s="17" t="s">
        <v>62</v>
      </c>
      <c r="Z43" s="17">
        <v>160143</v>
      </c>
      <c r="AA43" s="17">
        <v>212.39124668435014</v>
      </c>
      <c r="AB43" s="17">
        <v>731.91499085923215</v>
      </c>
      <c r="AC43" s="17">
        <v>0.51248383917256568</v>
      </c>
      <c r="AD43" s="17"/>
      <c r="AE43" s="17" t="s">
        <v>62</v>
      </c>
      <c r="AF43" s="17">
        <v>37530</v>
      </c>
      <c r="AG43" s="17">
        <v>111.36498516320475</v>
      </c>
      <c r="AH43" s="17">
        <v>318.32061068702291</v>
      </c>
      <c r="AI43" s="17">
        <v>0.3336504182854298</v>
      </c>
      <c r="AJ43" s="17"/>
      <c r="AK43" s="17" t="s">
        <v>62</v>
      </c>
      <c r="AL43" s="17">
        <v>46574</v>
      </c>
      <c r="AM43" s="17">
        <v>128.65745856353593</v>
      </c>
      <c r="AN43" s="17">
        <v>352.56623769871311</v>
      </c>
      <c r="AO43" s="17">
        <v>0.38196073285547921</v>
      </c>
    </row>
    <row r="44" spans="1:41" x14ac:dyDescent="0.25">
      <c r="S44" s="17" t="s">
        <v>63</v>
      </c>
      <c r="T44" s="17">
        <v>-135128</v>
      </c>
      <c r="U44" s="17">
        <v>-233.78546712802768</v>
      </c>
      <c r="V44" s="17">
        <v>-657.55717761557185</v>
      </c>
      <c r="W44" s="17">
        <v>-0.58373652197954107</v>
      </c>
      <c r="X44" s="17"/>
      <c r="Y44" s="17" t="s">
        <v>63</v>
      </c>
      <c r="Z44" s="17">
        <v>-210897</v>
      </c>
      <c r="AA44" s="17">
        <v>-279.70424403183023</v>
      </c>
      <c r="AB44" s="17">
        <v>-963.88025594149906</v>
      </c>
      <c r="AC44" s="17">
        <v>-0.67490495513370297</v>
      </c>
      <c r="AD44" s="17"/>
      <c r="AE44" s="17" t="s">
        <v>63</v>
      </c>
      <c r="AF44" s="17">
        <v>-74287</v>
      </c>
      <c r="AG44" s="17">
        <v>-220.43620178041544</v>
      </c>
      <c r="AH44" s="17">
        <v>-630.08481764206954</v>
      </c>
      <c r="AI44" s="17">
        <v>-0.6604286870015913</v>
      </c>
      <c r="AJ44" s="17"/>
      <c r="AK44" s="17" t="s">
        <v>63</v>
      </c>
      <c r="AL44" s="17">
        <v>-103346</v>
      </c>
      <c r="AM44" s="17">
        <v>-285.4861878453039</v>
      </c>
      <c r="AN44" s="17">
        <v>-782.33156699470101</v>
      </c>
      <c r="AO44" s="17">
        <v>-0.84755687503075428</v>
      </c>
    </row>
    <row r="45" spans="1:41" x14ac:dyDescent="0.25">
      <c r="S45" s="17" t="s">
        <v>64</v>
      </c>
      <c r="T45" s="17"/>
      <c r="U45" s="17"/>
      <c r="V45" s="17"/>
      <c r="W45" s="17"/>
      <c r="X45" s="17"/>
      <c r="Y45" s="17" t="s">
        <v>64</v>
      </c>
      <c r="Z45" s="17"/>
      <c r="AA45" s="17"/>
      <c r="AB45" s="17"/>
      <c r="AC45" s="17"/>
      <c r="AD45" s="17"/>
      <c r="AE45" s="17" t="s">
        <v>64</v>
      </c>
      <c r="AF45" s="17"/>
      <c r="AG45" s="17"/>
      <c r="AH45" s="17"/>
      <c r="AI45" s="17"/>
      <c r="AJ45" s="17"/>
      <c r="AK45" s="17" t="s">
        <v>64</v>
      </c>
      <c r="AL45" s="17"/>
      <c r="AM45" s="17"/>
      <c r="AN45" s="17"/>
      <c r="AO45" s="17"/>
    </row>
    <row r="46" spans="1:41" x14ac:dyDescent="0.25">
      <c r="S46" s="17" t="s">
        <v>65</v>
      </c>
      <c r="T46" s="17">
        <v>1562322</v>
      </c>
      <c r="U46" s="17">
        <v>2702.9792387543257</v>
      </c>
      <c r="V46" s="17">
        <v>7602.5401459854011</v>
      </c>
      <c r="W46" s="17">
        <v>6.7490409870058059</v>
      </c>
      <c r="X46" s="17"/>
      <c r="Y46" s="17" t="s">
        <v>65</v>
      </c>
      <c r="Z46" s="17">
        <v>2151411</v>
      </c>
      <c r="AA46" s="17">
        <v>2853.3302387267904</v>
      </c>
      <c r="AB46" s="17">
        <v>9832.774223034734</v>
      </c>
      <c r="AC46" s="17">
        <v>6.8848677052265073</v>
      </c>
      <c r="AD46" s="17"/>
      <c r="AE46" s="17" t="s">
        <v>65</v>
      </c>
      <c r="AF46" s="17">
        <v>790027</v>
      </c>
      <c r="AG46" s="17">
        <v>2344.2937685459938</v>
      </c>
      <c r="AH46" s="17">
        <v>6700.8227311280743</v>
      </c>
      <c r="AI46" s="17">
        <v>7.0235235546704837</v>
      </c>
      <c r="AJ46" s="17"/>
      <c r="AK46" s="17" t="s">
        <v>65</v>
      </c>
      <c r="AL46" s="17">
        <v>833774</v>
      </c>
      <c r="AM46" s="17">
        <v>2303.243093922652</v>
      </c>
      <c r="AN46" s="17">
        <v>6311.6881150643449</v>
      </c>
      <c r="AO46" s="17">
        <v>6.8379123132186272</v>
      </c>
    </row>
    <row r="47" spans="1:41" x14ac:dyDescent="0.25">
      <c r="S47" s="17" t="s">
        <v>66</v>
      </c>
      <c r="T47" s="17">
        <v>1153090</v>
      </c>
      <c r="U47" s="17">
        <v>1994.9653979238751</v>
      </c>
      <c r="V47" s="17">
        <v>5611.143552311436</v>
      </c>
      <c r="W47" s="17">
        <v>4.9812085291678176</v>
      </c>
      <c r="X47" s="17"/>
      <c r="Y47" s="17" t="s">
        <v>66</v>
      </c>
      <c r="Z47" s="17">
        <v>1557677</v>
      </c>
      <c r="AA47" s="17">
        <v>2065.8846153846152</v>
      </c>
      <c r="AB47" s="17">
        <v>7119.1819012797059</v>
      </c>
      <c r="AC47" s="17">
        <v>4.9848216228670914</v>
      </c>
      <c r="AD47" s="17"/>
      <c r="AE47" s="17" t="s">
        <v>66</v>
      </c>
      <c r="AF47" s="17">
        <v>583458</v>
      </c>
      <c r="AG47" s="17">
        <v>1731.3293768545993</v>
      </c>
      <c r="AH47" s="17">
        <v>4948.753180661578</v>
      </c>
      <c r="AI47" s="17">
        <v>5.1870771583261481</v>
      </c>
      <c r="AJ47" s="17"/>
      <c r="AK47" s="17" t="s">
        <v>66</v>
      </c>
      <c r="AL47" s="17">
        <v>635571</v>
      </c>
      <c r="AM47" s="17">
        <v>1755.7209944751382</v>
      </c>
      <c r="AN47" s="17">
        <v>4811.2869038607114</v>
      </c>
      <c r="AO47" s="17">
        <v>5.2124181934489142</v>
      </c>
    </row>
    <row r="48" spans="1:41" x14ac:dyDescent="0.25">
      <c r="S48" s="17" t="s">
        <v>67</v>
      </c>
      <c r="T48" s="17">
        <v>409232</v>
      </c>
      <c r="U48" s="17">
        <v>708.01384083045059</v>
      </c>
      <c r="V48" s="17">
        <v>1991.3965936739651</v>
      </c>
      <c r="W48" s="17">
        <v>1.7678324578379883</v>
      </c>
      <c r="X48" s="17"/>
      <c r="Y48" s="17" t="s">
        <v>67</v>
      </c>
      <c r="Z48" s="17">
        <v>593734</v>
      </c>
      <c r="AA48" s="17">
        <v>787.44562334217517</v>
      </c>
      <c r="AB48" s="17">
        <v>2713.592321755028</v>
      </c>
      <c r="AC48" s="17">
        <v>1.9000460823594159</v>
      </c>
      <c r="AD48" s="17"/>
      <c r="AE48" s="17" t="s">
        <v>67</v>
      </c>
      <c r="AF48" s="17">
        <v>206569</v>
      </c>
      <c r="AG48" s="17">
        <v>612.96439169139444</v>
      </c>
      <c r="AH48" s="17">
        <v>1752.0695504664964</v>
      </c>
      <c r="AI48" s="17">
        <v>1.8364463963443356</v>
      </c>
      <c r="AJ48" s="17"/>
      <c r="AK48" s="17" t="s">
        <v>67</v>
      </c>
      <c r="AL48" s="17">
        <v>198203</v>
      </c>
      <c r="AM48" s="17">
        <v>547.52209944751371</v>
      </c>
      <c r="AN48" s="17">
        <v>1500.4012112036335</v>
      </c>
      <c r="AO48" s="17">
        <v>1.625494119769713</v>
      </c>
    </row>
    <row r="49" spans="19:41" x14ac:dyDescent="0.25">
      <c r="S49" s="17" t="s">
        <v>68</v>
      </c>
      <c r="T49" s="17"/>
      <c r="U49" s="17"/>
      <c r="V49" s="17"/>
      <c r="W49" s="17"/>
      <c r="X49" s="17"/>
      <c r="Y49" s="17" t="s">
        <v>68</v>
      </c>
      <c r="Z49" s="17"/>
      <c r="AA49" s="17"/>
      <c r="AB49" s="17"/>
      <c r="AC49" s="17"/>
      <c r="AD49" s="17"/>
      <c r="AE49" s="17" t="s">
        <v>68</v>
      </c>
      <c r="AF49" s="17"/>
      <c r="AG49" s="17"/>
      <c r="AH49" s="17"/>
      <c r="AI49" s="17"/>
      <c r="AJ49" s="17"/>
      <c r="AK49" s="17" t="s">
        <v>68</v>
      </c>
      <c r="AL49" s="17"/>
      <c r="AM49" s="17"/>
      <c r="AN49" s="17"/>
      <c r="AO49" s="17"/>
    </row>
    <row r="50" spans="19:41" x14ac:dyDescent="0.25"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</row>
    <row r="51" spans="19:41" x14ac:dyDescent="0.25"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</row>
    <row r="52" spans="19:41" x14ac:dyDescent="0.25"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</row>
    <row r="53" spans="19:41" x14ac:dyDescent="0.25"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</row>
    <row r="54" spans="19:41" x14ac:dyDescent="0.25"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</row>
    <row r="55" spans="19:41" x14ac:dyDescent="0.25"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</row>
    <row r="56" spans="19:41" x14ac:dyDescent="0.25">
      <c r="S56" s="17"/>
      <c r="T56" s="17"/>
      <c r="U56" s="17"/>
      <c r="V56" s="17"/>
      <c r="W56" s="17"/>
      <c r="X56" s="17"/>
      <c r="Y56" s="17"/>
      <c r="Z56" s="17"/>
      <c r="AA56" s="17"/>
      <c r="AB56" s="17"/>
      <c r="AC56" s="17"/>
      <c r="AD56" s="17"/>
      <c r="AE56" s="17"/>
      <c r="AF56" s="17"/>
      <c r="AG56" s="17"/>
      <c r="AH56" s="17"/>
      <c r="AI56" s="17"/>
      <c r="AJ56" s="17"/>
      <c r="AK56" s="17"/>
      <c r="AL56" s="17"/>
      <c r="AM56" s="17"/>
      <c r="AN56" s="17"/>
      <c r="AO56" s="17"/>
    </row>
    <row r="57" spans="19:41" x14ac:dyDescent="0.25">
      <c r="S57" s="17"/>
      <c r="T57" s="17"/>
      <c r="U57" s="17"/>
      <c r="V57" s="17"/>
      <c r="W57" s="17"/>
      <c r="X57" s="17"/>
      <c r="Y57" s="17"/>
      <c r="Z57" s="17"/>
      <c r="AA57" s="17"/>
      <c r="AB57" s="17"/>
      <c r="AC57" s="17"/>
      <c r="AD57" s="17"/>
      <c r="AE57" s="17"/>
      <c r="AF57" s="17"/>
      <c r="AG57" s="17"/>
      <c r="AH57" s="17"/>
      <c r="AI57" s="17"/>
      <c r="AJ57" s="17"/>
      <c r="AK57" s="17"/>
      <c r="AL57" s="17"/>
      <c r="AM57" s="17"/>
      <c r="AN57" s="17"/>
      <c r="AO57" s="17"/>
    </row>
    <row r="58" spans="19:41" x14ac:dyDescent="0.25">
      <c r="S58" s="17"/>
      <c r="T58" s="17"/>
      <c r="U58" s="17"/>
      <c r="V58" s="17"/>
      <c r="W58" s="17"/>
      <c r="X58" s="17"/>
      <c r="Y58" s="17"/>
      <c r="Z58" s="17"/>
      <c r="AA58" s="17"/>
      <c r="AB58" s="17"/>
      <c r="AC58" s="17"/>
      <c r="AD58" s="17"/>
      <c r="AE58" s="17"/>
      <c r="AF58" s="17"/>
      <c r="AG58" s="17"/>
      <c r="AH58" s="17"/>
      <c r="AI58" s="17"/>
      <c r="AJ58" s="17"/>
      <c r="AK58" s="17"/>
      <c r="AL58" s="17"/>
      <c r="AM58" s="17"/>
      <c r="AN58" s="17"/>
      <c r="AO58" s="17"/>
    </row>
    <row r="59" spans="19:41" x14ac:dyDescent="0.25">
      <c r="S59" s="17"/>
      <c r="T59" s="17"/>
      <c r="U59" s="17"/>
      <c r="V59" s="17"/>
      <c r="W59" s="17"/>
      <c r="X59" s="17"/>
      <c r="Y59" s="17"/>
      <c r="Z59" s="17"/>
      <c r="AA59" s="17"/>
      <c r="AB59" s="17"/>
      <c r="AC59" s="17"/>
      <c r="AD59" s="17"/>
      <c r="AE59" s="17"/>
      <c r="AF59" s="17"/>
      <c r="AG59" s="17"/>
      <c r="AH59" s="17"/>
      <c r="AI59" s="17"/>
      <c r="AJ59" s="17"/>
      <c r="AK59" s="17"/>
      <c r="AL59" s="17"/>
      <c r="AM59" s="17"/>
      <c r="AN59" s="17"/>
      <c r="AO59" s="17"/>
    </row>
    <row r="60" spans="19:41" x14ac:dyDescent="0.25">
      <c r="S60" s="17"/>
      <c r="T60" s="17"/>
      <c r="U60" s="17"/>
      <c r="V60" s="17"/>
      <c r="W60" s="17"/>
      <c r="X60" s="17"/>
      <c r="Y60" s="17"/>
      <c r="Z60" s="17"/>
      <c r="AA60" s="17"/>
      <c r="AB60" s="17"/>
      <c r="AC60" s="17"/>
      <c r="AD60" s="17"/>
      <c r="AE60" s="17"/>
      <c r="AF60" s="17"/>
      <c r="AG60" s="17"/>
      <c r="AH60" s="17"/>
      <c r="AI60" s="17"/>
      <c r="AJ60" s="17"/>
      <c r="AK60" s="17"/>
      <c r="AL60" s="17"/>
      <c r="AM60" s="17"/>
      <c r="AN60" s="17"/>
      <c r="AO60" s="17"/>
    </row>
    <row r="61" spans="19:41" x14ac:dyDescent="0.25">
      <c r="S61" s="17"/>
      <c r="T61" s="17"/>
      <c r="U61" s="17"/>
      <c r="V61" s="17"/>
      <c r="W61" s="17"/>
      <c r="X61" s="17"/>
      <c r="Y61" s="17"/>
      <c r="Z61" s="17"/>
      <c r="AA61" s="17"/>
      <c r="AB61" s="17"/>
      <c r="AC61" s="17"/>
      <c r="AD61" s="17"/>
      <c r="AE61" s="17"/>
      <c r="AF61" s="17"/>
      <c r="AG61" s="17"/>
      <c r="AH61" s="17"/>
      <c r="AI61" s="17"/>
      <c r="AJ61" s="17"/>
      <c r="AK61" s="17"/>
      <c r="AL61" s="17"/>
      <c r="AM61" s="17"/>
      <c r="AN61" s="17"/>
      <c r="AO61" s="17"/>
    </row>
    <row r="62" spans="19:41" x14ac:dyDescent="0.25"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</row>
    <row r="63" spans="19:41" x14ac:dyDescent="0.25"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</row>
    <row r="64" spans="19:41" x14ac:dyDescent="0.25"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</row>
    <row r="65" spans="19:41" x14ac:dyDescent="0.25"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</row>
    <row r="66" spans="19:41" x14ac:dyDescent="0.25"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</row>
    <row r="67" spans="19:41" x14ac:dyDescent="0.25"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</row>
    <row r="68" spans="19:41" x14ac:dyDescent="0.25"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</row>
    <row r="69" spans="19:41" x14ac:dyDescent="0.25"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</row>
    <row r="70" spans="19:41" x14ac:dyDescent="0.25"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</row>
    <row r="71" spans="19:41" x14ac:dyDescent="0.25"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</row>
    <row r="72" spans="19:41" x14ac:dyDescent="0.25"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</row>
    <row r="73" spans="19:41" x14ac:dyDescent="0.25"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</row>
    <row r="74" spans="19:41" x14ac:dyDescent="0.25"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</row>
    <row r="75" spans="19:41" x14ac:dyDescent="0.25"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</row>
    <row r="76" spans="19:41" x14ac:dyDescent="0.25"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</row>
  </sheetData>
  <mergeCells count="8">
    <mergeCell ref="K2:M2"/>
    <mergeCell ref="N2:P2"/>
    <mergeCell ref="D12:E12"/>
    <mergeCell ref="K20:M20"/>
    <mergeCell ref="N20:P20"/>
    <mergeCell ref="I6:I8"/>
    <mergeCell ref="I10:I12"/>
    <mergeCell ref="I14:I17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6"/>
  <sheetViews>
    <sheetView workbookViewId="0">
      <selection activeCell="G15" sqref="G15"/>
    </sheetView>
  </sheetViews>
  <sheetFormatPr defaultRowHeight="15" x14ac:dyDescent="0.25"/>
  <cols>
    <col min="1" max="1" width="16.5703125" customWidth="1"/>
    <col min="2" max="2" width="10.85546875" bestFit="1" customWidth="1"/>
    <col min="3" max="3" width="5.85546875" customWidth="1"/>
    <col min="4" max="24" width="15" customWidth="1"/>
  </cols>
  <sheetData>
    <row r="1" spans="1:24" x14ac:dyDescent="0.25">
      <c r="A1" s="1" t="s">
        <v>76</v>
      </c>
    </row>
    <row r="2" spans="1:24" s="5" customFormat="1" x14ac:dyDescent="0.25">
      <c r="A2" s="1"/>
    </row>
    <row r="3" spans="1:24" s="5" customFormat="1" x14ac:dyDescent="0.25">
      <c r="A3" s="43" t="s">
        <v>127</v>
      </c>
    </row>
    <row r="4" spans="1:24" s="5" customFormat="1" x14ac:dyDescent="0.25">
      <c r="A4" s="4" t="s">
        <v>128</v>
      </c>
      <c r="B4" s="17">
        <v>0.58650000000000002</v>
      </c>
    </row>
    <row r="5" spans="1:24" s="5" customFormat="1" x14ac:dyDescent="0.25">
      <c r="A5" s="4" t="s">
        <v>129</v>
      </c>
      <c r="B5" s="17">
        <v>0.74980000000000002</v>
      </c>
    </row>
    <row r="6" spans="1:24" s="5" customFormat="1" x14ac:dyDescent="0.25">
      <c r="A6" s="1"/>
      <c r="B6" s="17"/>
    </row>
    <row r="7" spans="1:24" s="5" customFormat="1" x14ac:dyDescent="0.25">
      <c r="A7" s="1" t="s">
        <v>79</v>
      </c>
      <c r="B7" s="17"/>
    </row>
    <row r="8" spans="1:24" s="5" customFormat="1" x14ac:dyDescent="0.25">
      <c r="A8" s="4" t="s">
        <v>128</v>
      </c>
      <c r="B8" s="17">
        <v>-2.0000000000000001E-4</v>
      </c>
    </row>
    <row r="9" spans="1:24" x14ac:dyDescent="0.25">
      <c r="A9" s="4" t="s">
        <v>129</v>
      </c>
      <c r="B9" s="17">
        <v>0.20469999999999999</v>
      </c>
    </row>
    <row r="10" spans="1:24" s="5" customFormat="1" x14ac:dyDescent="0.25">
      <c r="A10" s="4" t="s">
        <v>146</v>
      </c>
      <c r="B10" s="17">
        <v>11.24</v>
      </c>
    </row>
    <row r="11" spans="1:24" x14ac:dyDescent="0.25">
      <c r="A11" s="43"/>
    </row>
    <row r="12" spans="1:24" x14ac:dyDescent="0.25">
      <c r="D12" s="151" t="s">
        <v>27</v>
      </c>
      <c r="E12" s="151"/>
      <c r="F12" s="151"/>
      <c r="G12" s="151"/>
      <c r="H12" s="151"/>
      <c r="I12" s="151"/>
      <c r="J12" s="151"/>
      <c r="K12" s="151" t="s">
        <v>77</v>
      </c>
      <c r="L12" s="151"/>
      <c r="M12" s="151"/>
      <c r="N12" s="151"/>
      <c r="O12" s="151"/>
      <c r="P12" s="151"/>
      <c r="Q12" s="151"/>
      <c r="R12" s="151" t="s">
        <v>29</v>
      </c>
      <c r="S12" s="151"/>
      <c r="T12" s="151"/>
      <c r="U12" s="151"/>
      <c r="V12" s="151"/>
      <c r="W12" s="151"/>
      <c r="X12" s="151"/>
    </row>
    <row r="13" spans="1:24" ht="45" x14ac:dyDescent="0.25">
      <c r="A13" s="19" t="s">
        <v>78</v>
      </c>
      <c r="B13" s="20" t="s">
        <v>125</v>
      </c>
      <c r="C13" s="21" t="s">
        <v>104</v>
      </c>
      <c r="D13" s="22" t="s">
        <v>135</v>
      </c>
      <c r="E13" s="22" t="s">
        <v>136</v>
      </c>
      <c r="F13" s="22" t="s">
        <v>137</v>
      </c>
      <c r="G13" s="22" t="s">
        <v>138</v>
      </c>
      <c r="H13" s="22" t="s">
        <v>139</v>
      </c>
      <c r="I13" s="21" t="s">
        <v>80</v>
      </c>
      <c r="J13" s="21"/>
      <c r="K13" s="22" t="s">
        <v>135</v>
      </c>
      <c r="L13" s="22" t="s">
        <v>136</v>
      </c>
      <c r="M13" s="22" t="s">
        <v>137</v>
      </c>
      <c r="N13" s="22" t="s">
        <v>138</v>
      </c>
      <c r="O13" s="22" t="s">
        <v>139</v>
      </c>
      <c r="P13" s="21" t="s">
        <v>80</v>
      </c>
      <c r="Q13" s="21"/>
      <c r="R13" s="22" t="s">
        <v>135</v>
      </c>
      <c r="S13" s="22" t="s">
        <v>136</v>
      </c>
      <c r="T13" s="22" t="s">
        <v>137</v>
      </c>
      <c r="U13" s="22" t="s">
        <v>138</v>
      </c>
      <c r="V13" s="22" t="s">
        <v>139</v>
      </c>
      <c r="W13" s="21" t="s">
        <v>80</v>
      </c>
      <c r="X13" s="21"/>
    </row>
    <row r="14" spans="1:24" x14ac:dyDescent="0.25">
      <c r="A14">
        <v>3</v>
      </c>
      <c r="B14" t="s">
        <v>81</v>
      </c>
      <c r="C14">
        <v>31</v>
      </c>
      <c r="D14" s="49">
        <v>80</v>
      </c>
      <c r="E14" s="17">
        <v>0.55000000000000004</v>
      </c>
      <c r="K14" s="49">
        <v>90</v>
      </c>
      <c r="L14" s="17">
        <v>0.6</v>
      </c>
      <c r="R14" s="49">
        <v>100</v>
      </c>
      <c r="S14" s="17">
        <v>0.65</v>
      </c>
    </row>
    <row r="15" spans="1:24" x14ac:dyDescent="0.25">
      <c r="A15">
        <v>4</v>
      </c>
      <c r="B15" t="s">
        <v>82</v>
      </c>
      <c r="C15">
        <v>30</v>
      </c>
      <c r="D15" s="27">
        <f>D14+(E14*C15)</f>
        <v>96.5</v>
      </c>
      <c r="E15" s="17">
        <v>0.65</v>
      </c>
      <c r="F15" s="46">
        <f>$B$4*(D15^$B$5)</f>
        <v>18.04124881051866</v>
      </c>
      <c r="G15" s="27">
        <f>E15*($B$8*D15^2+$B$9*D15+$B$10)</f>
        <v>18.935215000000003</v>
      </c>
      <c r="H15" s="27">
        <f>((F15+G15)/11)*$C$15</f>
        <v>100.84490130141455</v>
      </c>
      <c r="I15" s="27">
        <f>H15/$C$15</f>
        <v>3.3614967100471516</v>
      </c>
      <c r="J15" s="27"/>
      <c r="K15" s="27">
        <f>K14+(L14*C15)</f>
        <v>108</v>
      </c>
      <c r="L15" s="17">
        <v>0.7</v>
      </c>
      <c r="M15" s="27">
        <f>$B$4*(K15^$B$5)</f>
        <v>19.630399963769193</v>
      </c>
      <c r="N15" s="27">
        <f>L15*($B$8*K15^2+$B$9*K15+$B$10)</f>
        <v>21.710359999999998</v>
      </c>
      <c r="O15" s="27">
        <f>((M15+N15)/11)*C15</f>
        <v>112.74752717391597</v>
      </c>
      <c r="P15" s="27">
        <f>O15/C15</f>
        <v>3.7582509057971989</v>
      </c>
      <c r="Q15" s="27"/>
      <c r="R15" s="27">
        <f>R14+(S14*C15)</f>
        <v>119.5</v>
      </c>
      <c r="S15" s="17">
        <v>0.75</v>
      </c>
      <c r="T15" s="27">
        <f>$B$4*(R15^$B$5)</f>
        <v>21.177684394189466</v>
      </c>
      <c r="U15" s="27">
        <f>S15*($B$8*R15^2+$B$9*R15+$B$10)</f>
        <v>24.6342</v>
      </c>
      <c r="V15" s="27">
        <f>((T15+U15)/11)*C15</f>
        <v>124.94150289324398</v>
      </c>
      <c r="W15" s="27">
        <f>V15/C15</f>
        <v>4.1647167631081325</v>
      </c>
      <c r="X15" s="27"/>
    </row>
    <row r="16" spans="1:24" x14ac:dyDescent="0.25">
      <c r="A16">
        <v>5</v>
      </c>
      <c r="B16" t="s">
        <v>83</v>
      </c>
      <c r="C16">
        <v>31</v>
      </c>
      <c r="D16" s="27">
        <f t="shared" ref="D16:D33" si="0">D15+(E15*C16)</f>
        <v>116.65</v>
      </c>
      <c r="E16" s="17">
        <v>0.65</v>
      </c>
      <c r="F16" s="46">
        <f t="shared" ref="F16:F32" si="1">$B$4*(D16^$B$5)</f>
        <v>20.797838277964665</v>
      </c>
      <c r="G16" s="27">
        <f t="shared" ref="G16:G33" si="2">E16*($B$8*D16^2+$B$9*D16+$B$10)</f>
        <v>21.057926825000003</v>
      </c>
      <c r="H16" s="27">
        <f t="shared" ref="H16:H33" si="3">((F16+G16)/11)*C16</f>
        <v>117.95715619926408</v>
      </c>
      <c r="I16" s="27">
        <f t="shared" ref="I16:I33" si="4">H16/C16</f>
        <v>3.80506955481497</v>
      </c>
      <c r="J16" s="27"/>
      <c r="K16" s="27">
        <f t="shared" ref="K16:K33" si="5">K15+(L15*C16)</f>
        <v>129.69999999999999</v>
      </c>
      <c r="L16" s="17">
        <v>0.7</v>
      </c>
      <c r="M16" s="27">
        <f t="shared" ref="M16:M32" si="6">$B$4*(K16^$B$5)</f>
        <v>22.519067905532673</v>
      </c>
      <c r="N16" s="27">
        <f t="shared" ref="N16:N33" si="7">L16*($B$8*K16^2+$B$9*K16+$B$10)</f>
        <v>24.097620399999997</v>
      </c>
      <c r="O16" s="27">
        <f t="shared" ref="O16:O33" si="8">((M16+N16)/11)*C16</f>
        <v>131.37430340650116</v>
      </c>
      <c r="P16" s="27">
        <f t="shared" ref="P16:P33" si="9">O16/C16</f>
        <v>4.2378807550484243</v>
      </c>
      <c r="Q16" s="27"/>
      <c r="R16" s="27">
        <f t="shared" ref="R16:R33" si="10">R15+(S15*C16)</f>
        <v>142.75</v>
      </c>
      <c r="S16" s="17">
        <v>0.75</v>
      </c>
      <c r="T16" s="27">
        <f t="shared" ref="T16:T32" si="11">$B$4*(R16^$B$5)</f>
        <v>24.197427032613355</v>
      </c>
      <c r="U16" s="27">
        <f t="shared" ref="U16:U33" si="12">S16*($B$8*R16^2+$B$9*R16+$B$10)</f>
        <v>27.289059375000001</v>
      </c>
      <c r="V16" s="27">
        <f t="shared" ref="V16:V33" si="13">((T16+U16)/11)*C16</f>
        <v>145.09827987600127</v>
      </c>
      <c r="W16" s="27">
        <f t="shared" ref="W16:W33" si="14">V16/C16</f>
        <v>4.6805896734193961</v>
      </c>
      <c r="X16" s="27"/>
    </row>
    <row r="17" spans="1:24" x14ac:dyDescent="0.25">
      <c r="A17">
        <v>6</v>
      </c>
      <c r="B17" t="s">
        <v>84</v>
      </c>
      <c r="C17">
        <v>31</v>
      </c>
      <c r="D17" s="27">
        <f t="shared" si="0"/>
        <v>136.80000000000001</v>
      </c>
      <c r="E17" s="17">
        <v>0.55000000000000004</v>
      </c>
      <c r="F17" s="46">
        <f t="shared" si="1"/>
        <v>23.437180906962748</v>
      </c>
      <c r="G17" s="27">
        <f t="shared" si="2"/>
        <v>19.525061600000001</v>
      </c>
      <c r="H17" s="27">
        <f t="shared" si="3"/>
        <v>121.07541070144049</v>
      </c>
      <c r="I17" s="27">
        <f t="shared" si="4"/>
        <v>3.9056584097238867</v>
      </c>
      <c r="J17" s="27"/>
      <c r="K17" s="27">
        <f t="shared" si="5"/>
        <v>151.39999999999998</v>
      </c>
      <c r="L17" s="17">
        <v>0.6</v>
      </c>
      <c r="M17" s="27">
        <f t="shared" si="6"/>
        <v>25.288693782822683</v>
      </c>
      <c r="N17" s="27">
        <f t="shared" si="7"/>
        <v>22.588312800000001</v>
      </c>
      <c r="O17" s="27">
        <f t="shared" si="8"/>
        <v>134.92610946068211</v>
      </c>
      <c r="P17" s="27">
        <f t="shared" si="9"/>
        <v>4.3524551438929713</v>
      </c>
      <c r="Q17" s="27"/>
      <c r="R17" s="27">
        <f t="shared" si="10"/>
        <v>166</v>
      </c>
      <c r="S17" s="17">
        <v>0.65</v>
      </c>
      <c r="T17" s="27">
        <f t="shared" si="11"/>
        <v>27.095992340115227</v>
      </c>
      <c r="U17" s="27">
        <f t="shared" si="12"/>
        <v>25.810849999999999</v>
      </c>
      <c r="V17" s="27">
        <f t="shared" si="13"/>
        <v>149.10110114032472</v>
      </c>
      <c r="W17" s="27">
        <f t="shared" si="14"/>
        <v>4.809712940010475</v>
      </c>
      <c r="X17" s="27"/>
    </row>
    <row r="18" spans="1:24" x14ac:dyDescent="0.25">
      <c r="A18">
        <v>7</v>
      </c>
      <c r="B18" t="s">
        <v>85</v>
      </c>
      <c r="C18">
        <v>28</v>
      </c>
      <c r="D18" s="27">
        <f t="shared" si="0"/>
        <v>152.20000000000002</v>
      </c>
      <c r="E18" s="17">
        <v>0.55000000000000004</v>
      </c>
      <c r="F18" s="46">
        <f t="shared" si="1"/>
        <v>25.388820366781097</v>
      </c>
      <c r="G18" s="27">
        <f t="shared" si="2"/>
        <v>20.769304600000002</v>
      </c>
      <c r="H18" s="27">
        <f t="shared" si="3"/>
        <v>117.4934090063519</v>
      </c>
      <c r="I18" s="27">
        <f t="shared" si="4"/>
        <v>4.196193178798282</v>
      </c>
      <c r="J18" s="27"/>
      <c r="K18" s="27">
        <f t="shared" si="5"/>
        <v>168.2</v>
      </c>
      <c r="L18" s="17">
        <v>0.6</v>
      </c>
      <c r="M18" s="27">
        <f t="shared" si="6"/>
        <v>27.3648041882577</v>
      </c>
      <c r="N18" s="27">
        <f t="shared" si="7"/>
        <v>24.007375199999995</v>
      </c>
      <c r="O18" s="27">
        <f t="shared" si="8"/>
        <v>130.76554753374685</v>
      </c>
      <c r="P18" s="27">
        <f t="shared" si="9"/>
        <v>4.6701981262052445</v>
      </c>
      <c r="Q18" s="27"/>
      <c r="R18" s="27">
        <f t="shared" si="10"/>
        <v>184.2</v>
      </c>
      <c r="S18" s="17">
        <v>0.65</v>
      </c>
      <c r="T18" s="27">
        <f t="shared" si="11"/>
        <v>29.294236129820806</v>
      </c>
      <c r="U18" s="27">
        <f t="shared" si="12"/>
        <v>27.403877800000004</v>
      </c>
      <c r="V18" s="27">
        <f t="shared" si="13"/>
        <v>144.32247182136206</v>
      </c>
      <c r="W18" s="27">
        <f t="shared" si="14"/>
        <v>5.1543739936200739</v>
      </c>
      <c r="X18" s="27"/>
    </row>
    <row r="19" spans="1:24" x14ac:dyDescent="0.25">
      <c r="A19" s="43">
        <v>8</v>
      </c>
      <c r="B19" t="s">
        <v>86</v>
      </c>
      <c r="C19">
        <v>31</v>
      </c>
      <c r="D19" s="27">
        <f t="shared" si="0"/>
        <v>169.25000000000003</v>
      </c>
      <c r="E19" s="17">
        <v>0.45</v>
      </c>
      <c r="F19" s="46">
        <f t="shared" si="1"/>
        <v>27.492790250037043</v>
      </c>
      <c r="G19" s="27">
        <f t="shared" si="2"/>
        <v>18.070363125</v>
      </c>
      <c r="H19" s="27">
        <f t="shared" si="3"/>
        <v>128.40525042055893</v>
      </c>
      <c r="I19" s="27">
        <f t="shared" si="4"/>
        <v>4.1421048522760948</v>
      </c>
      <c r="J19" s="27"/>
      <c r="K19" s="27">
        <f t="shared" si="5"/>
        <v>186.79999999999998</v>
      </c>
      <c r="L19" s="17">
        <v>0.5</v>
      </c>
      <c r="M19" s="27">
        <f t="shared" si="6"/>
        <v>29.603727301554976</v>
      </c>
      <c r="N19" s="27">
        <f t="shared" si="7"/>
        <v>21.249555999999998</v>
      </c>
      <c r="O19" s="27">
        <f t="shared" si="8"/>
        <v>143.31379839529129</v>
      </c>
      <c r="P19" s="27">
        <f t="shared" si="9"/>
        <v>4.6230257546868154</v>
      </c>
      <c r="Q19" s="27"/>
      <c r="R19" s="27">
        <f t="shared" si="10"/>
        <v>204.35</v>
      </c>
      <c r="S19" s="17">
        <v>0.5</v>
      </c>
      <c r="T19" s="27">
        <f t="shared" si="11"/>
        <v>31.665541786727808</v>
      </c>
      <c r="U19" s="27">
        <f t="shared" si="12"/>
        <v>22.359330249999999</v>
      </c>
      <c r="V19" s="27">
        <f t="shared" si="13"/>
        <v>152.25191210350565</v>
      </c>
      <c r="W19" s="27">
        <f t="shared" si="14"/>
        <v>4.9113520033388918</v>
      </c>
      <c r="X19" s="27"/>
    </row>
    <row r="20" spans="1:24" x14ac:dyDescent="0.25">
      <c r="A20">
        <v>9</v>
      </c>
      <c r="B20" t="s">
        <v>87</v>
      </c>
      <c r="C20">
        <v>30</v>
      </c>
      <c r="D20" s="27">
        <f t="shared" si="0"/>
        <v>182.75000000000003</v>
      </c>
      <c r="E20" s="17">
        <v>0.45</v>
      </c>
      <c r="F20" s="46">
        <f t="shared" si="1"/>
        <v>29.12116091918503</v>
      </c>
      <c r="G20" s="27">
        <f t="shared" si="2"/>
        <v>18.886235625000001</v>
      </c>
      <c r="H20" s="27">
        <f t="shared" si="3"/>
        <v>130.92926330232279</v>
      </c>
      <c r="I20" s="27">
        <f t="shared" si="4"/>
        <v>4.3643087767440933</v>
      </c>
      <c r="J20" s="27"/>
      <c r="K20" s="27">
        <f t="shared" si="5"/>
        <v>201.79999999999998</v>
      </c>
      <c r="L20" s="17">
        <v>0.5</v>
      </c>
      <c r="M20" s="27">
        <f t="shared" si="6"/>
        <v>31.368799882887345</v>
      </c>
      <c r="N20" s="27">
        <f t="shared" si="7"/>
        <v>22.201906000000001</v>
      </c>
      <c r="O20" s="27">
        <f t="shared" si="8"/>
        <v>146.1019251351473</v>
      </c>
      <c r="P20" s="27">
        <f t="shared" si="9"/>
        <v>4.8700641711715766</v>
      </c>
      <c r="Q20" s="27"/>
      <c r="R20" s="27">
        <f t="shared" si="10"/>
        <v>219.35</v>
      </c>
      <c r="S20" s="17">
        <v>0.5</v>
      </c>
      <c r="T20" s="27">
        <f t="shared" si="11"/>
        <v>33.392813965304846</v>
      </c>
      <c r="U20" s="27">
        <f t="shared" si="12"/>
        <v>23.259030249999999</v>
      </c>
      <c r="V20" s="27">
        <f t="shared" si="13"/>
        <v>154.50502967810414</v>
      </c>
      <c r="W20" s="27">
        <f t="shared" si="14"/>
        <v>5.1501676559368041</v>
      </c>
      <c r="X20" s="27"/>
    </row>
    <row r="21" spans="1:24" x14ac:dyDescent="0.25">
      <c r="A21">
        <v>10</v>
      </c>
      <c r="B21" t="s">
        <v>88</v>
      </c>
      <c r="C21">
        <v>31</v>
      </c>
      <c r="D21" s="27">
        <f t="shared" si="0"/>
        <v>196.70000000000002</v>
      </c>
      <c r="E21" s="17">
        <v>0.35</v>
      </c>
      <c r="F21" s="46">
        <f t="shared" si="1"/>
        <v>30.772481943018043</v>
      </c>
      <c r="G21" s="27">
        <f t="shared" si="2"/>
        <v>15.318209200000002</v>
      </c>
      <c r="H21" s="27">
        <f t="shared" si="3"/>
        <v>129.89194776668722</v>
      </c>
      <c r="I21" s="27">
        <f t="shared" si="4"/>
        <v>4.1900628311834591</v>
      </c>
      <c r="J21" s="27">
        <f>SUM(H15:H21)</f>
        <v>846.59733869803995</v>
      </c>
      <c r="K21" s="27">
        <f t="shared" si="5"/>
        <v>217.29999999999998</v>
      </c>
      <c r="L21" s="17">
        <v>0.4</v>
      </c>
      <c r="M21" s="27">
        <f t="shared" si="6"/>
        <v>33.158539948056465</v>
      </c>
      <c r="N21" s="27">
        <f t="shared" si="7"/>
        <v>18.510980799999999</v>
      </c>
      <c r="O21" s="27">
        <f t="shared" si="8"/>
        <v>145.61410392634096</v>
      </c>
      <c r="P21" s="27">
        <f t="shared" si="9"/>
        <v>4.6972291589142241</v>
      </c>
      <c r="Q21" s="27">
        <f>SUM(O15:O21)</f>
        <v>944.84331503162559</v>
      </c>
      <c r="R21" s="27">
        <f t="shared" si="10"/>
        <v>234.85</v>
      </c>
      <c r="S21" s="17">
        <v>0.4</v>
      </c>
      <c r="T21" s="27">
        <f t="shared" si="11"/>
        <v>35.146880252820452</v>
      </c>
      <c r="U21" s="27">
        <f t="shared" si="12"/>
        <v>19.313156200000002</v>
      </c>
      <c r="V21" s="27">
        <f t="shared" si="13"/>
        <v>153.47828454885763</v>
      </c>
      <c r="W21" s="27">
        <f t="shared" si="14"/>
        <v>4.9509124048018593</v>
      </c>
      <c r="X21" s="27">
        <f>SUM(V15:V21)</f>
        <v>1023.6985820613995</v>
      </c>
    </row>
    <row r="22" spans="1:24" x14ac:dyDescent="0.25">
      <c r="A22">
        <v>11</v>
      </c>
      <c r="B22" t="s">
        <v>89</v>
      </c>
      <c r="C22">
        <v>30</v>
      </c>
      <c r="D22" s="27">
        <f t="shared" si="0"/>
        <v>207.20000000000002</v>
      </c>
      <c r="E22" s="17">
        <v>0.35</v>
      </c>
      <c r="F22" s="46">
        <f t="shared" si="1"/>
        <v>31.996100467973246</v>
      </c>
      <c r="G22" s="27">
        <f t="shared" si="2"/>
        <v>15.7736152</v>
      </c>
      <c r="H22" s="27">
        <f t="shared" si="3"/>
        <v>130.28104273083611</v>
      </c>
      <c r="I22" s="27">
        <f t="shared" si="4"/>
        <v>4.3427014243612039</v>
      </c>
      <c r="J22" s="27"/>
      <c r="K22" s="27">
        <f t="shared" si="5"/>
        <v>229.29999999999998</v>
      </c>
      <c r="L22" s="17">
        <v>0.4</v>
      </c>
      <c r="M22" s="27">
        <f t="shared" si="6"/>
        <v>34.522240733337291</v>
      </c>
      <c r="N22" s="27">
        <f t="shared" si="7"/>
        <v>19.064804800000001</v>
      </c>
      <c r="O22" s="27">
        <f t="shared" si="8"/>
        <v>146.14648781819261</v>
      </c>
      <c r="P22" s="27">
        <f t="shared" si="9"/>
        <v>4.8715495939397533</v>
      </c>
      <c r="Q22" s="27"/>
      <c r="R22" s="27">
        <f t="shared" si="10"/>
        <v>246.85</v>
      </c>
      <c r="S22" s="17">
        <v>0.4</v>
      </c>
      <c r="T22" s="27">
        <f t="shared" si="11"/>
        <v>36.485002344143901</v>
      </c>
      <c r="U22" s="27">
        <f t="shared" si="12"/>
        <v>19.833284200000001</v>
      </c>
      <c r="V22" s="27">
        <f t="shared" si="13"/>
        <v>153.59532693857429</v>
      </c>
      <c r="W22" s="27">
        <f t="shared" si="14"/>
        <v>5.1198442312858097</v>
      </c>
      <c r="X22" s="27"/>
    </row>
    <row r="23" spans="1:24" x14ac:dyDescent="0.25">
      <c r="A23">
        <v>12</v>
      </c>
      <c r="B23" t="s">
        <v>90</v>
      </c>
      <c r="C23">
        <v>31</v>
      </c>
      <c r="D23" s="27">
        <f t="shared" si="0"/>
        <v>218.05</v>
      </c>
      <c r="E23" s="17">
        <v>0.35</v>
      </c>
      <c r="F23" s="46">
        <f t="shared" si="1"/>
        <v>33.24431383342948</v>
      </c>
      <c r="G23" s="27">
        <f t="shared" si="2"/>
        <v>16.227986075</v>
      </c>
      <c r="H23" s="27">
        <f t="shared" si="3"/>
        <v>139.42193610557399</v>
      </c>
      <c r="I23" s="27">
        <f t="shared" si="4"/>
        <v>4.4974818098572253</v>
      </c>
      <c r="J23" s="27"/>
      <c r="K23" s="27">
        <f t="shared" si="5"/>
        <v>241.7</v>
      </c>
      <c r="L23" s="17">
        <v>0.4</v>
      </c>
      <c r="M23" s="27">
        <f t="shared" si="6"/>
        <v>35.912765434955794</v>
      </c>
      <c r="N23" s="27">
        <f t="shared" si="7"/>
        <v>19.612884800000003</v>
      </c>
      <c r="O23" s="27">
        <f t="shared" si="8"/>
        <v>156.48137793487541</v>
      </c>
      <c r="P23" s="27">
        <f t="shared" si="9"/>
        <v>5.0477863849959812</v>
      </c>
      <c r="Q23" s="27"/>
      <c r="R23" s="27">
        <f t="shared" si="10"/>
        <v>259.25</v>
      </c>
      <c r="S23" s="17">
        <v>0.4</v>
      </c>
      <c r="T23" s="27">
        <f t="shared" si="11"/>
        <v>37.850737551935481</v>
      </c>
      <c r="U23" s="27">
        <f t="shared" si="12"/>
        <v>20.346545000000003</v>
      </c>
      <c r="V23" s="27">
        <f t="shared" si="13"/>
        <v>164.01052355545454</v>
      </c>
      <c r="W23" s="27">
        <f t="shared" si="14"/>
        <v>5.2906620501759525</v>
      </c>
      <c r="X23" s="27"/>
    </row>
    <row r="24" spans="1:24" x14ac:dyDescent="0.25">
      <c r="A24">
        <v>13</v>
      </c>
      <c r="B24" t="s">
        <v>91</v>
      </c>
      <c r="C24">
        <v>31</v>
      </c>
      <c r="D24" s="27">
        <f t="shared" si="0"/>
        <v>228.9</v>
      </c>
      <c r="E24" s="17">
        <v>0.45</v>
      </c>
      <c r="F24" s="46">
        <f t="shared" si="1"/>
        <v>34.47707644370557</v>
      </c>
      <c r="G24" s="27">
        <f t="shared" si="2"/>
        <v>21.427554600000001</v>
      </c>
      <c r="H24" s="27">
        <f t="shared" si="3"/>
        <v>157.54941475953387</v>
      </c>
      <c r="I24" s="27">
        <f t="shared" si="4"/>
        <v>5.0822391857914155</v>
      </c>
      <c r="J24" s="27"/>
      <c r="K24" s="27">
        <f t="shared" si="5"/>
        <v>254.1</v>
      </c>
      <c r="L24" s="17">
        <v>0.5</v>
      </c>
      <c r="M24" s="27">
        <f t="shared" si="6"/>
        <v>37.285546612627002</v>
      </c>
      <c r="N24" s="27">
        <f t="shared" si="7"/>
        <v>25.170453999999999</v>
      </c>
      <c r="O24" s="27">
        <f t="shared" si="8"/>
        <v>176.01236536285791</v>
      </c>
      <c r="P24" s="27">
        <f t="shared" si="9"/>
        <v>5.6778182375115458</v>
      </c>
      <c r="Q24" s="27"/>
      <c r="R24" s="27">
        <f t="shared" si="10"/>
        <v>271.64999999999998</v>
      </c>
      <c r="S24" s="17">
        <v>0.5</v>
      </c>
      <c r="T24" s="27">
        <f t="shared" si="11"/>
        <v>39.200219292019582</v>
      </c>
      <c r="U24" s="27">
        <f t="shared" si="12"/>
        <v>26.044005249999998</v>
      </c>
      <c r="V24" s="27">
        <f t="shared" si="13"/>
        <v>183.87008734569156</v>
      </c>
      <c r="W24" s="27">
        <f t="shared" si="14"/>
        <v>5.9312931401835991</v>
      </c>
      <c r="X24" s="27"/>
    </row>
    <row r="25" spans="1:24" x14ac:dyDescent="0.25">
      <c r="A25">
        <v>14</v>
      </c>
      <c r="B25" t="s">
        <v>92</v>
      </c>
      <c r="C25">
        <v>30</v>
      </c>
      <c r="D25" s="27">
        <f t="shared" si="0"/>
        <v>242.4</v>
      </c>
      <c r="E25" s="17">
        <v>0.65</v>
      </c>
      <c r="F25" s="46">
        <f t="shared" si="1"/>
        <v>35.990723039740125</v>
      </c>
      <c r="G25" s="27">
        <f t="shared" si="2"/>
        <v>31.920023200000003</v>
      </c>
      <c r="H25" s="27">
        <f t="shared" si="3"/>
        <v>185.21112610838213</v>
      </c>
      <c r="I25" s="27">
        <f t="shared" si="4"/>
        <v>6.1737042036127381</v>
      </c>
      <c r="J25" s="27"/>
      <c r="K25" s="27">
        <f t="shared" si="5"/>
        <v>269.10000000000002</v>
      </c>
      <c r="L25" s="17">
        <v>0.7</v>
      </c>
      <c r="M25" s="27">
        <f t="shared" si="6"/>
        <v>38.92398594220095</v>
      </c>
      <c r="N25" s="27">
        <f t="shared" si="7"/>
        <v>36.2892656</v>
      </c>
      <c r="O25" s="27">
        <f t="shared" si="8"/>
        <v>205.12704966054804</v>
      </c>
      <c r="P25" s="27">
        <f t="shared" si="9"/>
        <v>6.8375683220182681</v>
      </c>
      <c r="Q25" s="27"/>
      <c r="R25" s="27">
        <f t="shared" si="10"/>
        <v>286.64999999999998</v>
      </c>
      <c r="S25" s="17">
        <v>0.75</v>
      </c>
      <c r="T25" s="27">
        <f t="shared" si="11"/>
        <v>40.812246930580187</v>
      </c>
      <c r="U25" s="27">
        <f t="shared" si="12"/>
        <v>40.112707874999998</v>
      </c>
      <c r="V25" s="27">
        <f t="shared" si="13"/>
        <v>220.70442219703688</v>
      </c>
      <c r="W25" s="27">
        <f t="shared" si="14"/>
        <v>7.3568140732345624</v>
      </c>
      <c r="X25" s="27"/>
    </row>
    <row r="26" spans="1:24" x14ac:dyDescent="0.25">
      <c r="A26">
        <v>15</v>
      </c>
      <c r="B26" t="s">
        <v>81</v>
      </c>
      <c r="C26">
        <v>31</v>
      </c>
      <c r="D26" s="27">
        <f t="shared" si="0"/>
        <v>262.55</v>
      </c>
      <c r="E26" s="17">
        <v>0.65</v>
      </c>
      <c r="F26" s="46">
        <f t="shared" si="1"/>
        <v>38.211421224740022</v>
      </c>
      <c r="G26" s="27">
        <f t="shared" si="2"/>
        <v>33.278364925000005</v>
      </c>
      <c r="H26" s="27">
        <f t="shared" si="3"/>
        <v>201.47121551290371</v>
      </c>
      <c r="I26" s="27">
        <f t="shared" si="4"/>
        <v>6.499071468158184</v>
      </c>
      <c r="J26" s="27"/>
      <c r="K26" s="27">
        <f t="shared" si="5"/>
        <v>290.8</v>
      </c>
      <c r="L26" s="17">
        <v>0.7</v>
      </c>
      <c r="M26" s="27">
        <f t="shared" si="6"/>
        <v>41.254478278149421</v>
      </c>
      <c r="N26" s="27">
        <f t="shared" si="7"/>
        <v>37.697682399999998</v>
      </c>
      <c r="O26" s="27">
        <f t="shared" si="8"/>
        <v>222.50154372933019</v>
      </c>
      <c r="P26" s="27">
        <f t="shared" si="9"/>
        <v>7.1774691525590386</v>
      </c>
      <c r="Q26" s="27"/>
      <c r="R26" s="27">
        <f t="shared" si="10"/>
        <v>309.89999999999998</v>
      </c>
      <c r="S26" s="17">
        <v>0.75</v>
      </c>
      <c r="T26" s="27">
        <f t="shared" si="11"/>
        <v>43.269906257243996</v>
      </c>
      <c r="U26" s="27">
        <f t="shared" si="12"/>
        <v>41.601695999999997</v>
      </c>
      <c r="V26" s="27">
        <f t="shared" si="13"/>
        <v>239.18360636132397</v>
      </c>
      <c r="W26" s="27">
        <f t="shared" si="14"/>
        <v>7.7156002052039989</v>
      </c>
      <c r="X26" s="27"/>
    </row>
    <row r="27" spans="1:24" x14ac:dyDescent="0.25">
      <c r="A27">
        <v>16</v>
      </c>
      <c r="B27" t="s">
        <v>82</v>
      </c>
      <c r="C27">
        <v>30</v>
      </c>
      <c r="D27" s="27">
        <f t="shared" si="0"/>
        <v>282.05</v>
      </c>
      <c r="E27" s="17">
        <v>0.65</v>
      </c>
      <c r="F27" s="46">
        <f t="shared" si="1"/>
        <v>40.320186223016357</v>
      </c>
      <c r="G27" s="27">
        <f t="shared" si="2"/>
        <v>34.492376425000003</v>
      </c>
      <c r="H27" s="27">
        <f t="shared" si="3"/>
        <v>204.03426176731733</v>
      </c>
      <c r="I27" s="27">
        <f t="shared" si="4"/>
        <v>6.8011420589105773</v>
      </c>
      <c r="J27" s="27"/>
      <c r="K27" s="27">
        <f t="shared" si="5"/>
        <v>311.8</v>
      </c>
      <c r="L27" s="17">
        <v>0.7</v>
      </c>
      <c r="M27" s="27">
        <f t="shared" si="6"/>
        <v>43.468667194896867</v>
      </c>
      <c r="N27" s="27">
        <f t="shared" si="7"/>
        <v>38.935128399999996</v>
      </c>
      <c r="O27" s="27">
        <f t="shared" si="8"/>
        <v>224.73762434971871</v>
      </c>
      <c r="P27" s="27">
        <f t="shared" si="9"/>
        <v>7.4912541449906236</v>
      </c>
      <c r="Q27" s="27"/>
      <c r="R27" s="27">
        <f t="shared" si="10"/>
        <v>332.4</v>
      </c>
      <c r="S27" s="17">
        <v>0.75</v>
      </c>
      <c r="T27" s="27">
        <f t="shared" si="11"/>
        <v>45.604683452353733</v>
      </c>
      <c r="U27" s="27">
        <f t="shared" si="12"/>
        <v>42.888246000000002</v>
      </c>
      <c r="V27" s="27">
        <f t="shared" si="13"/>
        <v>241.34435305187384</v>
      </c>
      <c r="W27" s="27">
        <f t="shared" si="14"/>
        <v>8.0448117683957943</v>
      </c>
      <c r="X27" s="27"/>
    </row>
    <row r="28" spans="1:24" x14ac:dyDescent="0.25">
      <c r="A28">
        <v>17</v>
      </c>
      <c r="B28" t="s">
        <v>83</v>
      </c>
      <c r="C28">
        <v>31</v>
      </c>
      <c r="D28" s="27">
        <f t="shared" si="0"/>
        <v>302.2</v>
      </c>
      <c r="E28" s="17">
        <v>0.65</v>
      </c>
      <c r="F28" s="46">
        <f t="shared" si="1"/>
        <v>42.461252690607424</v>
      </c>
      <c r="G28" s="27">
        <f t="shared" si="2"/>
        <v>35.642991800000004</v>
      </c>
      <c r="H28" s="27">
        <f t="shared" si="3"/>
        <v>220.11196174625729</v>
      </c>
      <c r="I28" s="27">
        <f t="shared" si="4"/>
        <v>7.1003858627824936</v>
      </c>
      <c r="J28" s="27"/>
      <c r="K28" s="27">
        <f t="shared" si="5"/>
        <v>333.5</v>
      </c>
      <c r="L28" s="17">
        <v>0.7</v>
      </c>
      <c r="M28" s="27">
        <f t="shared" si="6"/>
        <v>45.717795006306822</v>
      </c>
      <c r="N28" s="27">
        <f t="shared" si="7"/>
        <v>40.084099999999999</v>
      </c>
      <c r="O28" s="27">
        <f t="shared" si="8"/>
        <v>241.80534047231922</v>
      </c>
      <c r="P28" s="27">
        <f t="shared" si="9"/>
        <v>7.8001722733006202</v>
      </c>
      <c r="Q28" s="27"/>
      <c r="R28" s="27">
        <f t="shared" si="10"/>
        <v>355.65</v>
      </c>
      <c r="S28" s="17">
        <v>0.75</v>
      </c>
      <c r="T28" s="27">
        <f t="shared" si="11"/>
        <v>47.976097857207158</v>
      </c>
      <c r="U28" s="27">
        <f t="shared" si="12"/>
        <v>44.058127874999997</v>
      </c>
      <c r="V28" s="27">
        <f t="shared" si="13"/>
        <v>259.36918160894743</v>
      </c>
      <c r="W28" s="27">
        <f t="shared" si="14"/>
        <v>8.3667477938370141</v>
      </c>
      <c r="X28" s="27"/>
    </row>
    <row r="29" spans="1:24" x14ac:dyDescent="0.25">
      <c r="A29">
        <v>18</v>
      </c>
      <c r="B29" t="s">
        <v>84</v>
      </c>
      <c r="C29">
        <v>31</v>
      </c>
      <c r="D29" s="27">
        <f t="shared" si="0"/>
        <v>322.34999999999997</v>
      </c>
      <c r="E29" s="17">
        <v>0.55000000000000004</v>
      </c>
      <c r="F29" s="46">
        <f t="shared" si="1"/>
        <v>44.56686721296095</v>
      </c>
      <c r="G29" s="27">
        <f t="shared" si="2"/>
        <v>31.043727274999998</v>
      </c>
      <c r="H29" s="27">
        <f t="shared" si="3"/>
        <v>213.08440264788993</v>
      </c>
      <c r="I29" s="27">
        <f t="shared" si="4"/>
        <v>6.8736904079964498</v>
      </c>
      <c r="J29" s="27"/>
      <c r="K29" s="27">
        <f t="shared" si="5"/>
        <v>355.2</v>
      </c>
      <c r="L29" s="17">
        <v>0.6</v>
      </c>
      <c r="M29" s="27">
        <f t="shared" si="6"/>
        <v>47.930575071239289</v>
      </c>
      <c r="N29" s="27">
        <f t="shared" si="7"/>
        <v>35.229619200000002</v>
      </c>
      <c r="O29" s="27">
        <f t="shared" si="8"/>
        <v>234.36054749167437</v>
      </c>
      <c r="P29" s="27">
        <f t="shared" si="9"/>
        <v>7.560017661021754</v>
      </c>
      <c r="Q29" s="27"/>
      <c r="R29" s="27">
        <f t="shared" si="10"/>
        <v>378.9</v>
      </c>
      <c r="S29" s="17">
        <v>0.65</v>
      </c>
      <c r="T29" s="27">
        <f t="shared" si="11"/>
        <v>50.309009338588147</v>
      </c>
      <c r="U29" s="27">
        <f t="shared" si="12"/>
        <v>39.057062199999997</v>
      </c>
      <c r="V29" s="27">
        <f t="shared" si="13"/>
        <v>251.84983797238473</v>
      </c>
      <c r="W29" s="27">
        <f t="shared" si="14"/>
        <v>8.1241883216898305</v>
      </c>
      <c r="X29" s="27"/>
    </row>
    <row r="30" spans="1:24" x14ac:dyDescent="0.25">
      <c r="A30">
        <v>19</v>
      </c>
      <c r="B30" t="s">
        <v>85</v>
      </c>
      <c r="C30">
        <v>28</v>
      </c>
      <c r="D30" s="27">
        <f t="shared" si="0"/>
        <v>337.74999999999994</v>
      </c>
      <c r="E30" s="17">
        <v>0.55000000000000004</v>
      </c>
      <c r="F30" s="46">
        <f t="shared" si="1"/>
        <v>46.153943667409777</v>
      </c>
      <c r="G30" s="27">
        <f t="shared" si="2"/>
        <v>31.659326874999994</v>
      </c>
      <c r="H30" s="27">
        <f t="shared" si="3"/>
        <v>198.07014319886122</v>
      </c>
      <c r="I30" s="27">
        <f t="shared" si="4"/>
        <v>7.073933685673615</v>
      </c>
      <c r="J30" s="27"/>
      <c r="K30" s="27">
        <f t="shared" si="5"/>
        <v>372</v>
      </c>
      <c r="L30" s="17">
        <v>0.6</v>
      </c>
      <c r="M30" s="27">
        <f t="shared" si="6"/>
        <v>49.620497332922433</v>
      </c>
      <c r="N30" s="27">
        <f t="shared" si="7"/>
        <v>35.82696</v>
      </c>
      <c r="O30" s="27">
        <f t="shared" si="8"/>
        <v>217.50261866562073</v>
      </c>
      <c r="P30" s="27">
        <f t="shared" si="9"/>
        <v>7.7679506666293117</v>
      </c>
      <c r="Q30" s="27"/>
      <c r="R30" s="27">
        <f t="shared" si="10"/>
        <v>397.09999999999997</v>
      </c>
      <c r="S30" s="17">
        <v>0.65</v>
      </c>
      <c r="T30" s="27">
        <f t="shared" si="11"/>
        <v>52.110249407683483</v>
      </c>
      <c r="U30" s="27">
        <f t="shared" si="12"/>
        <v>39.642647199999999</v>
      </c>
      <c r="V30" s="27">
        <f t="shared" si="13"/>
        <v>233.55282772864888</v>
      </c>
      <c r="W30" s="27">
        <f t="shared" si="14"/>
        <v>8.3411724188803174</v>
      </c>
      <c r="X30" s="27"/>
    </row>
    <row r="31" spans="1:24" x14ac:dyDescent="0.25">
      <c r="A31">
        <v>20</v>
      </c>
      <c r="B31" t="s">
        <v>86</v>
      </c>
      <c r="C31">
        <v>31</v>
      </c>
      <c r="D31" s="27">
        <f t="shared" si="0"/>
        <v>354.79999999999995</v>
      </c>
      <c r="E31" s="17">
        <v>0.45</v>
      </c>
      <c r="F31" s="46">
        <f t="shared" si="1"/>
        <v>47.89009825761125</v>
      </c>
      <c r="G31" s="27">
        <f t="shared" si="2"/>
        <v>26.4109284</v>
      </c>
      <c r="H31" s="27">
        <f t="shared" si="3"/>
        <v>209.39380239872261</v>
      </c>
      <c r="I31" s="27">
        <f t="shared" si="4"/>
        <v>6.7546387870555682</v>
      </c>
      <c r="J31" s="27"/>
      <c r="K31" s="27">
        <f t="shared" si="5"/>
        <v>390.6</v>
      </c>
      <c r="L31" s="17">
        <v>0.5</v>
      </c>
      <c r="M31" s="27">
        <f t="shared" si="6"/>
        <v>51.469369623747255</v>
      </c>
      <c r="N31" s="27">
        <f t="shared" si="7"/>
        <v>30.341074000000003</v>
      </c>
      <c r="O31" s="27">
        <f t="shared" si="8"/>
        <v>230.55670475783322</v>
      </c>
      <c r="P31" s="27">
        <f t="shared" si="9"/>
        <v>7.4373130567042969</v>
      </c>
      <c r="Q31" s="27"/>
      <c r="R31" s="27">
        <f t="shared" si="10"/>
        <v>417.24999999999994</v>
      </c>
      <c r="S31" s="17">
        <v>0.55000000000000004</v>
      </c>
      <c r="T31" s="27">
        <f t="shared" si="11"/>
        <v>54.080562011508128</v>
      </c>
      <c r="U31" s="27">
        <f t="shared" si="12"/>
        <v>34.007359375</v>
      </c>
      <c r="V31" s="27">
        <f t="shared" si="13"/>
        <v>248.24777845288656</v>
      </c>
      <c r="W31" s="27">
        <f t="shared" si="14"/>
        <v>8.0079928533189211</v>
      </c>
      <c r="X31" s="27"/>
    </row>
    <row r="32" spans="1:24" x14ac:dyDescent="0.25">
      <c r="A32">
        <v>21</v>
      </c>
      <c r="B32" t="s">
        <v>87</v>
      </c>
      <c r="C32">
        <v>30</v>
      </c>
      <c r="D32" s="27">
        <f t="shared" si="0"/>
        <v>368.29999999999995</v>
      </c>
      <c r="E32" s="17">
        <v>0.45</v>
      </c>
      <c r="F32" s="46">
        <f t="shared" si="1"/>
        <v>49.249980768709598</v>
      </c>
      <c r="G32" s="27">
        <f t="shared" si="2"/>
        <v>26.775914400000005</v>
      </c>
      <c r="H32" s="27">
        <f t="shared" si="3"/>
        <v>207.34335046011711</v>
      </c>
      <c r="I32" s="27">
        <f t="shared" si="4"/>
        <v>6.9114450153372369</v>
      </c>
      <c r="J32" s="27"/>
      <c r="K32" s="27">
        <f t="shared" si="5"/>
        <v>405.6</v>
      </c>
      <c r="L32" s="17">
        <v>0.5</v>
      </c>
      <c r="M32" s="27">
        <f t="shared" si="6"/>
        <v>52.944378744169185</v>
      </c>
      <c r="N32" s="27">
        <f t="shared" si="7"/>
        <v>30.682023999999998</v>
      </c>
      <c r="O32" s="27">
        <f t="shared" si="8"/>
        <v>228.07200748409778</v>
      </c>
      <c r="P32" s="27">
        <f t="shared" si="9"/>
        <v>7.6024002494699259</v>
      </c>
      <c r="Q32" s="27"/>
      <c r="R32" s="27">
        <f t="shared" si="10"/>
        <v>433.74999999999994</v>
      </c>
      <c r="S32" s="17">
        <v>0.55000000000000004</v>
      </c>
      <c r="T32" s="27">
        <f t="shared" si="11"/>
        <v>55.676276684005295</v>
      </c>
      <c r="U32" s="27">
        <f t="shared" si="12"/>
        <v>34.320446875000002</v>
      </c>
      <c r="V32" s="27">
        <f t="shared" si="13"/>
        <v>245.44560970637806</v>
      </c>
      <c r="W32" s="27">
        <f t="shared" si="14"/>
        <v>8.1815203235459357</v>
      </c>
      <c r="X32" s="27"/>
    </row>
    <row r="33" spans="1:25" x14ac:dyDescent="0.25">
      <c r="A33" s="3">
        <v>22</v>
      </c>
      <c r="B33" s="3" t="s">
        <v>88</v>
      </c>
      <c r="C33" s="3">
        <v>31</v>
      </c>
      <c r="D33" s="47">
        <f t="shared" si="0"/>
        <v>382.24999999999994</v>
      </c>
      <c r="E33" s="18">
        <v>0.45</v>
      </c>
      <c r="F33" s="46">
        <f>$B$4*(D33^$B$5)</f>
        <v>50.642153760613326</v>
      </c>
      <c r="G33" s="27">
        <f t="shared" si="2"/>
        <v>27.118603124999993</v>
      </c>
      <c r="H33" s="47">
        <f t="shared" si="3"/>
        <v>219.14395122309207</v>
      </c>
      <c r="I33" s="47">
        <f t="shared" si="4"/>
        <v>7.069159716873938</v>
      </c>
      <c r="J33" s="47">
        <f>SUM(H22:H33)</f>
        <v>2285.1166086594872</v>
      </c>
      <c r="K33" s="47">
        <f t="shared" si="5"/>
        <v>421.1</v>
      </c>
      <c r="L33" s="18">
        <v>0.6</v>
      </c>
      <c r="M33" s="27">
        <f>$B$4*(K33^$B$5)</f>
        <v>54.454286311599581</v>
      </c>
      <c r="N33" s="27">
        <f t="shared" si="7"/>
        <v>37.184476799999992</v>
      </c>
      <c r="O33" s="47">
        <f t="shared" si="8"/>
        <v>258.25469604178062</v>
      </c>
      <c r="P33" s="47">
        <f t="shared" si="9"/>
        <v>8.3307966465090519</v>
      </c>
      <c r="Q33" s="47">
        <f>SUM(O22:O33)</f>
        <v>2541.5583637688492</v>
      </c>
      <c r="R33" s="47">
        <f t="shared" si="10"/>
        <v>450.79999999999995</v>
      </c>
      <c r="S33" s="18">
        <v>0.55000000000000004</v>
      </c>
      <c r="T33" s="27">
        <f>$B$4*(R33^$B$5)</f>
        <v>57.309306118534643</v>
      </c>
      <c r="U33" s="27">
        <f t="shared" si="12"/>
        <v>34.581047600000005</v>
      </c>
      <c r="V33" s="47">
        <f t="shared" si="13"/>
        <v>258.96372411587032</v>
      </c>
      <c r="W33" s="47">
        <f t="shared" si="14"/>
        <v>8.353668519866785</v>
      </c>
      <c r="X33" s="47">
        <f>SUM(V22:V33)</f>
        <v>2700.1372790350711</v>
      </c>
    </row>
    <row r="34" spans="1:25" x14ac:dyDescent="0.25">
      <c r="A34" s="15" t="s">
        <v>126</v>
      </c>
      <c r="B34" s="15"/>
      <c r="C34" s="15"/>
      <c r="D34" s="15"/>
      <c r="E34" s="15"/>
      <c r="F34" s="24"/>
      <c r="G34" s="24"/>
      <c r="H34" s="48">
        <f>SUM(H15:H33)</f>
        <v>3131.7139473575276</v>
      </c>
      <c r="I34" s="48"/>
      <c r="J34" s="48"/>
      <c r="K34" s="24"/>
      <c r="L34" s="24"/>
      <c r="M34" s="24"/>
      <c r="N34" s="24"/>
      <c r="O34" s="48">
        <f>SUM(O15:O33)</f>
        <v>3486.4016788004747</v>
      </c>
      <c r="P34" s="48"/>
      <c r="Q34" s="48"/>
      <c r="R34" s="24"/>
      <c r="S34" s="24"/>
      <c r="T34" s="48"/>
      <c r="U34" s="48"/>
      <c r="V34" s="48">
        <f>SUM(V15:V33)</f>
        <v>3723.8358610964697</v>
      </c>
      <c r="W34" s="48"/>
      <c r="X34" s="48"/>
    </row>
    <row r="35" spans="1:25" x14ac:dyDescent="0.25">
      <c r="A35" t="s">
        <v>93</v>
      </c>
      <c r="D35" s="17">
        <v>381</v>
      </c>
      <c r="E35" s="17"/>
      <c r="F35" s="17"/>
      <c r="G35" s="17"/>
      <c r="H35" s="17"/>
      <c r="I35" s="17"/>
      <c r="J35" s="17"/>
      <c r="K35" s="17">
        <v>419</v>
      </c>
      <c r="L35" s="17"/>
      <c r="M35" s="17"/>
      <c r="N35" s="17"/>
      <c r="O35" s="17"/>
      <c r="P35" s="17"/>
      <c r="Q35" s="17"/>
      <c r="R35" s="17">
        <v>450</v>
      </c>
      <c r="S35" s="17"/>
      <c r="T35" s="17"/>
      <c r="U35" s="17"/>
      <c r="V35" s="17"/>
      <c r="W35" s="17"/>
      <c r="X35" s="17"/>
      <c r="Y35" s="17"/>
    </row>
    <row r="36" spans="1:25" x14ac:dyDescent="0.25">
      <c r="A36" t="s">
        <v>94</v>
      </c>
      <c r="D36" s="23"/>
      <c r="E36" s="23">
        <f>AVERAGE(E14:E33)</f>
        <v>0.52</v>
      </c>
      <c r="F36" s="23"/>
      <c r="G36" s="23"/>
      <c r="H36" s="23"/>
      <c r="I36" s="23"/>
      <c r="J36" s="23"/>
      <c r="K36" s="23"/>
      <c r="L36" s="23">
        <f>AVERAGE(L14:L33)</f>
        <v>0.57499999999999996</v>
      </c>
      <c r="M36" s="23"/>
      <c r="N36" s="23"/>
      <c r="O36" s="23"/>
      <c r="P36" s="23"/>
      <c r="Q36" s="23"/>
      <c r="R36" s="23"/>
      <c r="S36" s="23">
        <f>AVERAGE(S14:S33)</f>
        <v>0.6050000000000002</v>
      </c>
      <c r="T36" s="23"/>
    </row>
  </sheetData>
  <mergeCells count="3">
    <mergeCell ref="D12:J12"/>
    <mergeCell ref="K12:Q12"/>
    <mergeCell ref="R12:X1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3"/>
  <sheetViews>
    <sheetView workbookViewId="0">
      <selection activeCell="A7" sqref="A7:A13"/>
    </sheetView>
  </sheetViews>
  <sheetFormatPr defaultRowHeight="15" x14ac:dyDescent="0.25"/>
  <sheetData>
    <row r="1" spans="1:1" x14ac:dyDescent="0.25">
      <c r="A1" t="s">
        <v>27</v>
      </c>
    </row>
    <row r="2" spans="1:1" x14ac:dyDescent="0.25">
      <c r="A2" t="s">
        <v>71</v>
      </c>
    </row>
    <row r="3" spans="1:1" x14ac:dyDescent="0.25">
      <c r="A3" t="s">
        <v>29</v>
      </c>
    </row>
    <row r="7" spans="1:1" x14ac:dyDescent="0.25">
      <c r="A7">
        <v>250</v>
      </c>
    </row>
    <row r="8" spans="1:1" x14ac:dyDescent="0.25">
      <c r="A8">
        <v>300</v>
      </c>
    </row>
    <row r="9" spans="1:1" x14ac:dyDescent="0.25">
      <c r="A9">
        <v>350</v>
      </c>
    </row>
    <row r="10" spans="1:1" x14ac:dyDescent="0.25">
      <c r="A10">
        <v>400</v>
      </c>
    </row>
    <row r="11" spans="1:1" x14ac:dyDescent="0.25">
      <c r="A11">
        <v>450</v>
      </c>
    </row>
    <row r="12" spans="1:1" x14ac:dyDescent="0.25">
      <c r="A12">
        <v>500</v>
      </c>
    </row>
    <row r="13" spans="1:1" x14ac:dyDescent="0.25">
      <c r="A13">
        <v>550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5</vt:i4>
      </vt:variant>
      <vt:variant>
        <vt:lpstr>Named Ranges</vt:lpstr>
      </vt:variant>
      <vt:variant>
        <vt:i4>2</vt:i4>
      </vt:variant>
    </vt:vector>
  </HeadingPairs>
  <TitlesOfParts>
    <vt:vector size="7" baseType="lpstr">
      <vt:lpstr>Instructions and Assumptions</vt:lpstr>
      <vt:lpstr>Calculator</vt:lpstr>
      <vt:lpstr>Calculations-Hide</vt:lpstr>
      <vt:lpstr>Growth Rates-Hide</vt:lpstr>
      <vt:lpstr>Lists</vt:lpstr>
      <vt:lpstr>Cows</vt:lpstr>
      <vt:lpstr>MilkSolids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</dc:creator>
  <cp:lastModifiedBy>Reuben Cairns-Morrison</cp:lastModifiedBy>
  <cp:lastPrinted>2017-03-15T21:20:21Z</cp:lastPrinted>
  <dcterms:created xsi:type="dcterms:W3CDTF">2015-08-06T21:10:01Z</dcterms:created>
  <dcterms:modified xsi:type="dcterms:W3CDTF">2017-03-23T21:03:17Z</dcterms:modified>
</cp:coreProperties>
</file>